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ловний  бух\Фінансовий план\Затверджені фін плани\"/>
    </mc:Choice>
  </mc:AlternateContent>
  <xr:revisionPtr revIDLastSave="0" documentId="8_{767D6A6B-E863-4402-9873-3D35DF0A7E8A}" xr6:coauthVersionLast="47" xr6:coauthVersionMax="47" xr10:uidLastSave="{00000000-0000-0000-0000-000000000000}"/>
  <bookViews>
    <workbookView xWindow="-120" yWindow="-120" windowWidth="20730" windowHeight="11160" tabRatio="838" xr2:uid="{00000000-000D-0000-FFFF-FFFF00000000}"/>
  </bookViews>
  <sheets>
    <sheet name="Фінансовий план КНП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3" r:id="rId4"/>
    <sheet name="Розшифровка кап" sheetId="24" r:id="rId5"/>
    <sheet name="Розшифровка за джерелами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'Розшифровка 1 до Формування'!$4:$6</definedName>
    <definedName name="_xlnm.Print_Titles" localSheetId="2">'Розшифровка 2 до формування'!$4:$6</definedName>
    <definedName name="_xlnm.Print_Titles" localSheetId="3">'Розшифровка до Руху'!$4:$6</definedName>
    <definedName name="_xlnm.Print_Titles" localSheetId="4">'Розшифровка кап'!$4:$6</definedName>
    <definedName name="_xlnm.Print_Titles" localSheetId="0">'Фінансовий план КНП'!$47:$49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'Розшифровка 1 до Формування'!$A$1:$K$119</definedName>
    <definedName name="_xlnm.Print_Area" localSheetId="2">'Розшифровка 2 до формування'!$A$1:$K$223</definedName>
    <definedName name="_xlnm.Print_Area" localSheetId="3">'Розшифровка до Руху'!$A$1:$J$77</definedName>
    <definedName name="_xlnm.Print_Area" localSheetId="5">'Розшифровка за джерелами'!$A$1:$AE$33</definedName>
    <definedName name="_xlnm.Print_Area" localSheetId="4">'Розшифровка кап'!$A$1:$J$52</definedName>
    <definedName name="_xlnm.Print_Area" localSheetId="0">'Фінансовий план КНП'!$A$1:$J$201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0" i="14" l="1"/>
  <c r="E116" i="14"/>
  <c r="F188" i="14" l="1"/>
  <c r="F187" i="14"/>
  <c r="F116" i="14"/>
  <c r="I30" i="22" l="1"/>
  <c r="I57" i="26" l="1"/>
  <c r="S121" i="14" l="1"/>
  <c r="G120" i="14"/>
  <c r="I120" i="14"/>
  <c r="H30" i="22"/>
  <c r="H57" i="26"/>
  <c r="H53" i="26" s="1"/>
  <c r="K53" i="26"/>
  <c r="J53" i="26"/>
  <c r="I53" i="26"/>
  <c r="G59" i="26"/>
  <c r="U13" i="26"/>
  <c r="N71" i="14" l="1"/>
  <c r="O71" i="14"/>
  <c r="P71" i="14"/>
  <c r="Q71" i="14"/>
  <c r="N62" i="14"/>
  <c r="O62" i="14"/>
  <c r="P62" i="14"/>
  <c r="Q62" i="14"/>
  <c r="N55" i="14"/>
  <c r="O55" i="14"/>
  <c r="P55" i="14"/>
  <c r="Q55" i="14"/>
  <c r="M91" i="14"/>
  <c r="N91" i="14"/>
  <c r="P91" i="14"/>
  <c r="Q91" i="14"/>
  <c r="R91" i="14"/>
  <c r="S91" i="14"/>
  <c r="L91" i="14"/>
  <c r="M90" i="14"/>
  <c r="N90" i="14"/>
  <c r="P90" i="14"/>
  <c r="Q90" i="14"/>
  <c r="R90" i="14"/>
  <c r="S90" i="14"/>
  <c r="L90" i="14"/>
  <c r="P102" i="14"/>
  <c r="Q102" i="14"/>
  <c r="R102" i="14"/>
  <c r="S102" i="14"/>
  <c r="K37" i="22"/>
  <c r="H37" i="22"/>
  <c r="G34" i="22"/>
  <c r="C120" i="14"/>
  <c r="C136" i="14" l="1"/>
  <c r="D134" i="14"/>
  <c r="E134" i="14"/>
  <c r="F134" i="14"/>
  <c r="G134" i="14"/>
  <c r="C134" i="14"/>
  <c r="C145" i="14" s="1"/>
  <c r="C114" i="14"/>
  <c r="C121" i="14"/>
  <c r="U30" i="26" l="1"/>
  <c r="T30" i="26"/>
  <c r="S30" i="26"/>
  <c r="R30" i="26"/>
  <c r="Q30" i="26"/>
  <c r="P30" i="26"/>
  <c r="O30" i="26"/>
  <c r="N30" i="26"/>
  <c r="U29" i="26"/>
  <c r="T29" i="26"/>
  <c r="S29" i="26"/>
  <c r="R29" i="26"/>
  <c r="Q29" i="26"/>
  <c r="P29" i="26"/>
  <c r="O29" i="26"/>
  <c r="N29" i="26"/>
  <c r="U28" i="26"/>
  <c r="T28" i="26"/>
  <c r="S28" i="26"/>
  <c r="R28" i="26"/>
  <c r="P28" i="26"/>
  <c r="O28" i="26"/>
  <c r="N28" i="26"/>
  <c r="U27" i="26"/>
  <c r="T27" i="26"/>
  <c r="S27" i="26"/>
  <c r="R27" i="26"/>
  <c r="P27" i="26"/>
  <c r="O27" i="26"/>
  <c r="N27" i="26"/>
  <c r="U26" i="26"/>
  <c r="T26" i="26"/>
  <c r="S26" i="26"/>
  <c r="R26" i="26"/>
  <c r="Q26" i="26"/>
  <c r="P26" i="26"/>
  <c r="O26" i="26"/>
  <c r="N26" i="26"/>
  <c r="U22" i="26"/>
  <c r="T22" i="26"/>
  <c r="S22" i="26"/>
  <c r="R22" i="26"/>
  <c r="P22" i="26"/>
  <c r="O22" i="26"/>
  <c r="N22" i="26"/>
  <c r="O21" i="26"/>
  <c r="N21" i="26"/>
  <c r="O20" i="26"/>
  <c r="N20" i="26"/>
  <c r="O13" i="26"/>
  <c r="R13" i="26"/>
  <c r="S13" i="26"/>
  <c r="T13" i="26"/>
  <c r="O14" i="26"/>
  <c r="O34" i="26" s="1"/>
  <c r="O40" i="26" s="1"/>
  <c r="R14" i="26"/>
  <c r="S14" i="26"/>
  <c r="T14" i="26"/>
  <c r="U14" i="26"/>
  <c r="O15" i="26"/>
  <c r="P15" i="26"/>
  <c r="Q15" i="26"/>
  <c r="R15" i="26"/>
  <c r="S15" i="26"/>
  <c r="T15" i="26"/>
  <c r="U15" i="26"/>
  <c r="N13" i="26"/>
  <c r="N14" i="26"/>
  <c r="N15" i="26"/>
  <c r="I217" i="26"/>
  <c r="J217" i="26"/>
  <c r="K217" i="26"/>
  <c r="H217" i="26"/>
  <c r="H59" i="14"/>
  <c r="I59" i="14"/>
  <c r="J59" i="14"/>
  <c r="G59" i="14"/>
  <c r="H25" i="22"/>
  <c r="Q25" i="22" s="1"/>
  <c r="I25" i="22"/>
  <c r="R25" i="22" s="1"/>
  <c r="J25" i="22"/>
  <c r="S25" i="22" s="1"/>
  <c r="N19" i="22"/>
  <c r="M19" i="22"/>
  <c r="M15" i="22"/>
  <c r="N14" i="22"/>
  <c r="P14" i="22"/>
  <c r="Q14" i="22"/>
  <c r="R14" i="22"/>
  <c r="S14" i="22"/>
  <c r="T14" i="22"/>
  <c r="M14" i="22"/>
  <c r="O33" i="26" l="1"/>
  <c r="O39" i="26" s="1"/>
  <c r="T35" i="26"/>
  <c r="T41" i="26" s="1"/>
  <c r="N33" i="26"/>
  <c r="N39" i="26" s="1"/>
  <c r="R35" i="26"/>
  <c r="R41" i="26" s="1"/>
  <c r="P35" i="26"/>
  <c r="P41" i="26" s="1"/>
  <c r="N35" i="26"/>
  <c r="N41" i="26" s="1"/>
  <c r="N34" i="26"/>
  <c r="N40" i="26" s="1"/>
  <c r="S35" i="26"/>
  <c r="S41" i="26" s="1"/>
  <c r="O35" i="26"/>
  <c r="O41" i="26" s="1"/>
  <c r="U35" i="26"/>
  <c r="U41" i="26" s="1"/>
  <c r="H65" i="22"/>
  <c r="K36" i="22"/>
  <c r="J36" i="22"/>
  <c r="I36" i="22"/>
  <c r="F11" i="22" l="1"/>
  <c r="F47" i="24" l="1"/>
  <c r="M121" i="14"/>
  <c r="N121" i="14"/>
  <c r="P121" i="14"/>
  <c r="Q121" i="14"/>
  <c r="R121" i="14"/>
  <c r="L121" i="14"/>
  <c r="F118" i="14"/>
  <c r="C17" i="23"/>
  <c r="H18" i="9"/>
  <c r="H20" i="9" s="1"/>
  <c r="I18" i="9"/>
  <c r="I20" i="9" s="1"/>
  <c r="J18" i="9"/>
  <c r="J20" i="9" s="1"/>
  <c r="K18" i="9"/>
  <c r="K20" i="9" s="1"/>
  <c r="M18" i="9"/>
  <c r="M20" i="9" s="1"/>
  <c r="N18" i="9"/>
  <c r="N20" i="9" s="1"/>
  <c r="O18" i="9"/>
  <c r="O20" i="9" s="1"/>
  <c r="P18" i="9"/>
  <c r="P20" i="9" s="1"/>
  <c r="R18" i="9"/>
  <c r="R20" i="9" s="1"/>
  <c r="S18" i="9"/>
  <c r="S20" i="9" s="1"/>
  <c r="T18" i="9"/>
  <c r="T20" i="9" s="1"/>
  <c r="U18" i="9"/>
  <c r="U20" i="9" s="1"/>
  <c r="W18" i="9"/>
  <c r="W20" i="9" s="1"/>
  <c r="X18" i="9"/>
  <c r="X20" i="9" s="1"/>
  <c r="Y18" i="9"/>
  <c r="Y20" i="9" s="1"/>
  <c r="Z18" i="9"/>
  <c r="Z20" i="9" s="1"/>
  <c r="J46" i="24"/>
  <c r="I46" i="24" s="1"/>
  <c r="H46" i="24" s="1"/>
  <c r="G46" i="24" s="1"/>
  <c r="M102" i="14"/>
  <c r="N102" i="14"/>
  <c r="L102" i="14"/>
  <c r="S98" i="14"/>
  <c r="M98" i="14"/>
  <c r="N98" i="14"/>
  <c r="P98" i="14"/>
  <c r="Q98" i="14"/>
  <c r="R98" i="14"/>
  <c r="L98" i="14"/>
  <c r="G100" i="22"/>
  <c r="G101" i="22"/>
  <c r="G102" i="22"/>
  <c r="G99" i="22"/>
  <c r="G90" i="22"/>
  <c r="G79" i="22"/>
  <c r="G73" i="22"/>
  <c r="E85" i="26"/>
  <c r="F166" i="14" l="1"/>
  <c r="E8" i="24" l="1"/>
  <c r="C8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J7" i="24"/>
  <c r="I7" i="24"/>
  <c r="H7" i="24"/>
  <c r="G7" i="24"/>
  <c r="C7" i="24"/>
  <c r="E46" i="24"/>
  <c r="D46" i="24"/>
  <c r="E7" i="24" l="1"/>
  <c r="D8" i="24"/>
  <c r="D7" i="24" s="1"/>
  <c r="J72" i="23" l="1"/>
  <c r="I72" i="23"/>
  <c r="H72" i="23"/>
  <c r="G72" i="23"/>
  <c r="E72" i="23"/>
  <c r="D72" i="23"/>
  <c r="C72" i="23"/>
  <c r="E25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J25" i="23"/>
  <c r="J24" i="23" s="1"/>
  <c r="J23" i="23" s="1"/>
  <c r="I25" i="23"/>
  <c r="I24" i="23" s="1"/>
  <c r="I23" i="23" s="1"/>
  <c r="H25" i="23"/>
  <c r="H24" i="23" s="1"/>
  <c r="H23" i="23" s="1"/>
  <c r="G25" i="23"/>
  <c r="D25" i="23"/>
  <c r="C25" i="23"/>
  <c r="C24" i="23" l="1"/>
  <c r="C23" i="23" s="1"/>
  <c r="E24" i="23"/>
  <c r="E23" i="23" s="1"/>
  <c r="D24" i="23"/>
  <c r="D23" i="23" s="1"/>
  <c r="F25" i="23"/>
  <c r="G24" i="23"/>
  <c r="G23" i="23" s="1"/>
  <c r="F23" i="23" s="1"/>
  <c r="F74" i="23"/>
  <c r="D10" i="23"/>
  <c r="E10" i="23"/>
  <c r="E187" i="14"/>
  <c r="E188" i="14"/>
  <c r="E192" i="14" s="1"/>
  <c r="E196" i="14" s="1"/>
  <c r="C185" i="14"/>
  <c r="F24" i="23" l="1"/>
  <c r="F91" i="14"/>
  <c r="F92" i="14"/>
  <c r="F90" i="14"/>
  <c r="F89" i="14"/>
  <c r="F88" i="14"/>
  <c r="F56" i="26"/>
  <c r="K116" i="22"/>
  <c r="J116" i="22"/>
  <c r="I116" i="22"/>
  <c r="H116" i="22"/>
  <c r="G116" i="22"/>
  <c r="F116" i="22"/>
  <c r="E116" i="22"/>
  <c r="D71" i="22"/>
  <c r="D188" i="26"/>
  <c r="D187" i="26" s="1"/>
  <c r="O102" i="14" l="1"/>
  <c r="O90" i="14"/>
  <c r="O91" i="14"/>
  <c r="O98" i="14"/>
  <c r="D107" i="26"/>
  <c r="D20" i="26" l="1"/>
  <c r="K188" i="26" l="1"/>
  <c r="J188" i="26"/>
  <c r="I188" i="26"/>
  <c r="H188" i="26"/>
  <c r="F188" i="26"/>
  <c r="E188" i="26"/>
  <c r="F113" i="26"/>
  <c r="F111" i="26" s="1"/>
  <c r="O14" i="22" s="1"/>
  <c r="K107" i="26"/>
  <c r="J107" i="26"/>
  <c r="I107" i="26"/>
  <c r="H107" i="26"/>
  <c r="F107" i="26"/>
  <c r="E107" i="26"/>
  <c r="H63" i="26"/>
  <c r="F53" i="26"/>
  <c r="G188" i="26" l="1"/>
  <c r="F29" i="22"/>
  <c r="E181" i="14"/>
  <c r="F181" i="14"/>
  <c r="E11" i="22"/>
  <c r="G15" i="22"/>
  <c r="D11" i="22"/>
  <c r="G98" i="22"/>
  <c r="I88" i="22"/>
  <c r="J88" i="22"/>
  <c r="K88" i="22"/>
  <c r="H88" i="22"/>
  <c r="I106" i="22"/>
  <c r="J106" i="22"/>
  <c r="K106" i="22"/>
  <c r="H106" i="22"/>
  <c r="I82" i="22"/>
  <c r="J82" i="22"/>
  <c r="K82" i="22"/>
  <c r="H82" i="22"/>
  <c r="I78" i="22"/>
  <c r="J78" i="22"/>
  <c r="K78" i="22"/>
  <c r="H78" i="22"/>
  <c r="I76" i="22"/>
  <c r="J76" i="22"/>
  <c r="K76" i="22"/>
  <c r="I77" i="22"/>
  <c r="J77" i="22"/>
  <c r="K77" i="22"/>
  <c r="H77" i="22"/>
  <c r="I75" i="22"/>
  <c r="J75" i="22"/>
  <c r="K75" i="22"/>
  <c r="H76" i="22"/>
  <c r="H75" i="22"/>
  <c r="I86" i="22"/>
  <c r="J86" i="22"/>
  <c r="K86" i="22"/>
  <c r="H86" i="22"/>
  <c r="K84" i="22"/>
  <c r="I84" i="22"/>
  <c r="J84" i="22"/>
  <c r="I74" i="22"/>
  <c r="J74" i="22"/>
  <c r="K74" i="22"/>
  <c r="H74" i="22"/>
  <c r="I72" i="22"/>
  <c r="J72" i="22"/>
  <c r="K72" i="22"/>
  <c r="H72" i="22"/>
  <c r="F71" i="22"/>
  <c r="G97" i="22" l="1"/>
  <c r="G94" i="22"/>
  <c r="G95" i="22"/>
  <c r="G96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I20" i="26"/>
  <c r="J20" i="26"/>
  <c r="K20" i="26"/>
  <c r="H20" i="26"/>
  <c r="F214" i="26"/>
  <c r="G199" i="26"/>
  <c r="G198" i="26" s="1"/>
  <c r="G197" i="26" s="1"/>
  <c r="G203" i="26"/>
  <c r="G202" i="26" s="1"/>
  <c r="G205" i="26"/>
  <c r="G206" i="26"/>
  <c r="F204" i="26"/>
  <c r="F202" i="26"/>
  <c r="F198" i="26"/>
  <c r="F197" i="26" s="1"/>
  <c r="F211" i="26" l="1"/>
  <c r="O15" i="22" s="1"/>
  <c r="F213" i="26"/>
  <c r="K195" i="26"/>
  <c r="T19" i="22" s="1"/>
  <c r="H195" i="26"/>
  <c r="Q19" i="22" s="1"/>
  <c r="J195" i="26"/>
  <c r="S19" i="22" s="1"/>
  <c r="I195" i="26"/>
  <c r="R19" i="22" s="1"/>
  <c r="G204" i="26"/>
  <c r="G201" i="26" s="1"/>
  <c r="G195" i="26" s="1"/>
  <c r="F201" i="26"/>
  <c r="F195" i="26" s="1"/>
  <c r="O19" i="22" s="1"/>
  <c r="G19" i="22" l="1"/>
  <c r="P19" i="22" s="1"/>
  <c r="E187" i="26"/>
  <c r="F187" i="26"/>
  <c r="H187" i="26"/>
  <c r="I187" i="26"/>
  <c r="J187" i="26"/>
  <c r="K187" i="26"/>
  <c r="D185" i="26"/>
  <c r="M18" i="22" s="1"/>
  <c r="G190" i="26"/>
  <c r="G187" i="26" s="1"/>
  <c r="F77" i="14"/>
  <c r="F190" i="14"/>
  <c r="F194" i="14" s="1"/>
  <c r="F191" i="14"/>
  <c r="F195" i="14" s="1"/>
  <c r="F192" i="14"/>
  <c r="F196" i="14" s="1"/>
  <c r="H129" i="14"/>
  <c r="I129" i="14"/>
  <c r="J129" i="14"/>
  <c r="G129" i="14"/>
  <c r="E137" i="14"/>
  <c r="C192" i="14" l="1"/>
  <c r="C196" i="14" s="1"/>
  <c r="C191" i="14"/>
  <c r="C195" i="14" s="1"/>
  <c r="C190" i="14"/>
  <c r="C194" i="14" s="1"/>
  <c r="D49" i="22"/>
  <c r="D37" i="22"/>
  <c r="D172" i="26"/>
  <c r="D164" i="26"/>
  <c r="D144" i="26"/>
  <c r="N16" i="26" s="1"/>
  <c r="D139" i="26"/>
  <c r="D65" i="26"/>
  <c r="D63" i="26" s="1"/>
  <c r="D47" i="26"/>
  <c r="N25" i="26" s="1"/>
  <c r="D12" i="26"/>
  <c r="D27" i="26"/>
  <c r="K26" i="26"/>
  <c r="U21" i="26" s="1"/>
  <c r="U34" i="26" s="1"/>
  <c r="U40" i="26" s="1"/>
  <c r="K25" i="26"/>
  <c r="U20" i="26" s="1"/>
  <c r="U33" i="26" s="1"/>
  <c r="U39" i="26" s="1"/>
  <c r="J26" i="26"/>
  <c r="T21" i="26" s="1"/>
  <c r="T34" i="26" s="1"/>
  <c r="T40" i="26" s="1"/>
  <c r="J25" i="26"/>
  <c r="T20" i="26" s="1"/>
  <c r="T33" i="26" s="1"/>
  <c r="T39" i="26" s="1"/>
  <c r="I25" i="26"/>
  <c r="S20" i="26" s="1"/>
  <c r="S33" i="26" s="1"/>
  <c r="S39" i="26" s="1"/>
  <c r="I26" i="26"/>
  <c r="S21" i="26" s="1"/>
  <c r="S34" i="26" s="1"/>
  <c r="S40" i="26" s="1"/>
  <c r="H26" i="26"/>
  <c r="R21" i="26" s="1"/>
  <c r="R34" i="26" s="1"/>
  <c r="R40" i="26" s="1"/>
  <c r="H25" i="26"/>
  <c r="R20" i="26" s="1"/>
  <c r="R33" i="26" s="1"/>
  <c r="R39" i="26" s="1"/>
  <c r="F26" i="26"/>
  <c r="P21" i="26" s="1"/>
  <c r="F25" i="26"/>
  <c r="P20" i="26" s="1"/>
  <c r="F18" i="26"/>
  <c r="P14" i="26" s="1"/>
  <c r="P34" i="26" s="1"/>
  <c r="P40" i="26" s="1"/>
  <c r="F17" i="26"/>
  <c r="P13" i="26" s="1"/>
  <c r="P33" i="26" s="1"/>
  <c r="P39" i="26" s="1"/>
  <c r="N19" i="26" l="1"/>
  <c r="D19" i="26"/>
  <c r="D11" i="26"/>
  <c r="D138" i="26"/>
  <c r="D8" i="22"/>
  <c r="C51" i="14" s="1"/>
  <c r="M8" i="22" s="1"/>
  <c r="C9" i="23"/>
  <c r="D21" i="23"/>
  <c r="D19" i="23"/>
  <c r="D15" i="23"/>
  <c r="D12" i="23" s="1"/>
  <c r="D11" i="23"/>
  <c r="H15" i="23"/>
  <c r="I15" i="23"/>
  <c r="J15" i="23"/>
  <c r="G15" i="23"/>
  <c r="D136" i="26" l="1"/>
  <c r="M10" i="22" s="1"/>
  <c r="D17" i="23"/>
  <c r="D9" i="23"/>
  <c r="D8" i="26"/>
  <c r="M9" i="22" s="1"/>
  <c r="E71" i="26"/>
  <c r="G76" i="26"/>
  <c r="G77" i="26"/>
  <c r="G78" i="26"/>
  <c r="G79" i="26"/>
  <c r="G80" i="26"/>
  <c r="G81" i="26"/>
  <c r="G82" i="26"/>
  <c r="E47" i="26"/>
  <c r="O25" i="26" s="1"/>
  <c r="E27" i="26"/>
  <c r="F27" i="26"/>
  <c r="F20" i="26"/>
  <c r="G22" i="26"/>
  <c r="G23" i="26"/>
  <c r="G24" i="26"/>
  <c r="E20" i="26"/>
  <c r="F121" i="26"/>
  <c r="F78" i="26"/>
  <c r="G12" i="22"/>
  <c r="F19" i="26" l="1"/>
  <c r="E19" i="26"/>
  <c r="D25" i="22"/>
  <c r="D29" i="22"/>
  <c r="D116" i="22"/>
  <c r="D53" i="26"/>
  <c r="D71" i="26"/>
  <c r="D86" i="26"/>
  <c r="D85" i="26" s="1"/>
  <c r="D96" i="26"/>
  <c r="D91" i="26" s="1"/>
  <c r="D121" i="26"/>
  <c r="D158" i="26"/>
  <c r="D157" i="26" s="1"/>
  <c r="D163" i="26"/>
  <c r="D217" i="26"/>
  <c r="D216" i="26" s="1"/>
  <c r="C12" i="23"/>
  <c r="N23" i="26" l="1"/>
  <c r="N36" i="26" s="1"/>
  <c r="N42" i="26" s="1"/>
  <c r="D7" i="22"/>
  <c r="M25" i="22"/>
  <c r="D83" i="26"/>
  <c r="M13" i="22" s="1"/>
  <c r="N12" i="26"/>
  <c r="N32" i="26" s="1"/>
  <c r="D62" i="26"/>
  <c r="D52" i="26"/>
  <c r="N11" i="26" s="1"/>
  <c r="D120" i="26"/>
  <c r="D116" i="26" s="1"/>
  <c r="M16" i="22" s="1"/>
  <c r="D155" i="26"/>
  <c r="M17" i="22" s="1"/>
  <c r="J128" i="14"/>
  <c r="H71" i="22"/>
  <c r="H144" i="26"/>
  <c r="R16" i="26" s="1"/>
  <c r="N18" i="26" l="1"/>
  <c r="N10" i="26" s="1"/>
  <c r="N37" i="26"/>
  <c r="N38" i="26"/>
  <c r="D50" i="26"/>
  <c r="M12" i="22" s="1"/>
  <c r="I71" i="22"/>
  <c r="J71" i="22"/>
  <c r="K71" i="22"/>
  <c r="E71" i="22"/>
  <c r="E37" i="22"/>
  <c r="G153" i="26"/>
  <c r="G152" i="26"/>
  <c r="G151" i="26"/>
  <c r="G150" i="26"/>
  <c r="G149" i="26"/>
  <c r="G148" i="26"/>
  <c r="G147" i="26"/>
  <c r="G145" i="26"/>
  <c r="K144" i="26"/>
  <c r="U16" i="26" s="1"/>
  <c r="J144" i="26"/>
  <c r="T16" i="26" s="1"/>
  <c r="I144" i="26"/>
  <c r="S16" i="26" s="1"/>
  <c r="F144" i="26"/>
  <c r="P16" i="26" s="1"/>
  <c r="E144" i="26"/>
  <c r="O16" i="26" s="1"/>
  <c r="G143" i="26"/>
  <c r="G142" i="26"/>
  <c r="G141" i="26"/>
  <c r="G140" i="26"/>
  <c r="K139" i="26"/>
  <c r="J139" i="26"/>
  <c r="I139" i="26"/>
  <c r="H139" i="26"/>
  <c r="H138" i="26" s="1"/>
  <c r="F139" i="26"/>
  <c r="E139" i="26"/>
  <c r="F12" i="26"/>
  <c r="E12" i="26"/>
  <c r="F129" i="14"/>
  <c r="E191" i="14"/>
  <c r="E195" i="14" s="1"/>
  <c r="E190" i="14"/>
  <c r="E194" i="14" s="1"/>
  <c r="D191" i="14"/>
  <c r="D195" i="14" s="1"/>
  <c r="D192" i="14"/>
  <c r="D196" i="14" s="1"/>
  <c r="D190" i="14"/>
  <c r="D194" i="14" s="1"/>
  <c r="D122" i="14"/>
  <c r="D119" i="14" s="1"/>
  <c r="D56" i="14"/>
  <c r="E29" i="22"/>
  <c r="E8" i="22"/>
  <c r="D51" i="14" s="1"/>
  <c r="N8" i="22" s="1"/>
  <c r="E56" i="14"/>
  <c r="H12" i="26"/>
  <c r="K12" i="26"/>
  <c r="J12" i="26"/>
  <c r="I27" i="26"/>
  <c r="I47" i="26"/>
  <c r="S25" i="26" s="1"/>
  <c r="H27" i="26"/>
  <c r="H47" i="26"/>
  <c r="R25" i="26" s="1"/>
  <c r="J63" i="26"/>
  <c r="I63" i="26"/>
  <c r="K63" i="26"/>
  <c r="G56" i="26"/>
  <c r="H19" i="26" l="1"/>
  <c r="I19" i="26"/>
  <c r="K11" i="26"/>
  <c r="H11" i="26"/>
  <c r="J11" i="26"/>
  <c r="F11" i="26"/>
  <c r="E11" i="26"/>
  <c r="E138" i="26"/>
  <c r="E136" i="26" s="1"/>
  <c r="N10" i="22" s="1"/>
  <c r="J138" i="26"/>
  <c r="J136" i="26" s="1"/>
  <c r="K138" i="26"/>
  <c r="K136" i="26" s="1"/>
  <c r="I138" i="26"/>
  <c r="I136" i="26" s="1"/>
  <c r="F138" i="26"/>
  <c r="F136" i="26" s="1"/>
  <c r="I12" i="26"/>
  <c r="G144" i="26"/>
  <c r="Q16" i="26" s="1"/>
  <c r="G139" i="26"/>
  <c r="H136" i="26"/>
  <c r="Q10" i="22" s="1"/>
  <c r="E8" i="26"/>
  <c r="N9" i="22" s="1"/>
  <c r="E11" i="23" l="1"/>
  <c r="O10" i="22"/>
  <c r="J11" i="23"/>
  <c r="T10" i="22"/>
  <c r="H11" i="23"/>
  <c r="R10" i="22"/>
  <c r="I11" i="23"/>
  <c r="S10" i="22"/>
  <c r="I11" i="26"/>
  <c r="G138" i="26"/>
  <c r="G10" i="22"/>
  <c r="G11" i="23"/>
  <c r="G136" i="26"/>
  <c r="H8" i="26"/>
  <c r="Q9" i="22" s="1"/>
  <c r="F47" i="26"/>
  <c r="P25" i="26" s="1"/>
  <c r="F164" i="26"/>
  <c r="P19" i="26" s="1"/>
  <c r="E164" i="26"/>
  <c r="E214" i="26"/>
  <c r="E211" i="26" s="1"/>
  <c r="N15" i="22" s="1"/>
  <c r="O19" i="26" l="1"/>
  <c r="P10" i="22"/>
  <c r="F8" i="26"/>
  <c r="G10" i="23"/>
  <c r="J139" i="14"/>
  <c r="I143" i="14"/>
  <c r="F121" i="14"/>
  <c r="F120" i="14"/>
  <c r="H130" i="14"/>
  <c r="I130" i="14"/>
  <c r="J130" i="14"/>
  <c r="G130" i="14"/>
  <c r="H128" i="14"/>
  <c r="I128" i="14"/>
  <c r="G128" i="14"/>
  <c r="H125" i="14"/>
  <c r="I125" i="14"/>
  <c r="I122" i="14" s="1"/>
  <c r="J125" i="14"/>
  <c r="J122" i="14" s="1"/>
  <c r="G125" i="14"/>
  <c r="G122" i="14" s="1"/>
  <c r="G119" i="14" s="1"/>
  <c r="K27" i="26"/>
  <c r="G218" i="26"/>
  <c r="Q22" i="26" s="1"/>
  <c r="Q35" i="26" s="1"/>
  <c r="Q41" i="26" s="1"/>
  <c r="G26" i="22"/>
  <c r="G25" i="22" s="1"/>
  <c r="P25" i="22" s="1"/>
  <c r="F56" i="14"/>
  <c r="K19" i="26" l="1"/>
  <c r="H122" i="14"/>
  <c r="F8" i="22"/>
  <c r="E51" i="14" s="1"/>
  <c r="O8" i="22" s="1"/>
  <c r="O9" i="22"/>
  <c r="G103" i="22" l="1"/>
  <c r="G92" i="22"/>
  <c r="G81" i="22"/>
  <c r="G93" i="22"/>
  <c r="G89" i="22"/>
  <c r="J49" i="22"/>
  <c r="J29" i="22"/>
  <c r="I29" i="22"/>
  <c r="H29" i="22"/>
  <c r="G29" i="26"/>
  <c r="G30" i="26"/>
  <c r="G31" i="26"/>
  <c r="J27" i="26"/>
  <c r="G44" i="26"/>
  <c r="G57" i="14"/>
  <c r="G38" i="26"/>
  <c r="G39" i="26"/>
  <c r="G37" i="26"/>
  <c r="G43" i="26"/>
  <c r="G16" i="26"/>
  <c r="G14" i="26"/>
  <c r="G66" i="26"/>
  <c r="G67" i="26"/>
  <c r="J19" i="26" l="1"/>
  <c r="I8" i="26"/>
  <c r="G27" i="26"/>
  <c r="K29" i="22"/>
  <c r="G29" i="22" s="1"/>
  <c r="G30" i="22"/>
  <c r="G35" i="22"/>
  <c r="G32" i="22"/>
  <c r="G31" i="22"/>
  <c r="G160" i="26"/>
  <c r="G161" i="26"/>
  <c r="G162" i="26"/>
  <c r="G159" i="26"/>
  <c r="G158" i="26" s="1"/>
  <c r="I214" i="26"/>
  <c r="J214" i="26"/>
  <c r="K214" i="26"/>
  <c r="J47" i="26"/>
  <c r="T25" i="26" s="1"/>
  <c r="K47" i="26"/>
  <c r="U25" i="26" s="1"/>
  <c r="G13" i="26"/>
  <c r="G15" i="26"/>
  <c r="G17" i="26"/>
  <c r="G18" i="26"/>
  <c r="G21" i="26"/>
  <c r="G20" i="26" s="1"/>
  <c r="G25" i="26"/>
  <c r="G26" i="26"/>
  <c r="G28" i="26"/>
  <c r="G32" i="26"/>
  <c r="G33" i="26"/>
  <c r="G34" i="26"/>
  <c r="G35" i="26"/>
  <c r="G36" i="26"/>
  <c r="G40" i="26"/>
  <c r="G41" i="26"/>
  <c r="G42" i="26"/>
  <c r="G45" i="26"/>
  <c r="G46" i="26"/>
  <c r="G48" i="26"/>
  <c r="Q27" i="26" s="1"/>
  <c r="G49" i="26"/>
  <c r="G125" i="26"/>
  <c r="G126" i="26"/>
  <c r="G128" i="26"/>
  <c r="G129" i="26"/>
  <c r="G130" i="26"/>
  <c r="G123" i="26"/>
  <c r="G124" i="26"/>
  <c r="G122" i="26"/>
  <c r="G109" i="26"/>
  <c r="G108" i="26"/>
  <c r="G192" i="26"/>
  <c r="G215" i="26"/>
  <c r="H214" i="26"/>
  <c r="G180" i="26"/>
  <c r="G182" i="26"/>
  <c r="G181" i="26"/>
  <c r="G179" i="26"/>
  <c r="G178" i="26"/>
  <c r="G177" i="26"/>
  <c r="G176" i="26"/>
  <c r="G175" i="26"/>
  <c r="G173" i="26"/>
  <c r="G165" i="26"/>
  <c r="G166" i="26"/>
  <c r="G167" i="26"/>
  <c r="G168" i="26"/>
  <c r="G170" i="26"/>
  <c r="G171" i="26"/>
  <c r="I164" i="26"/>
  <c r="S19" i="26" s="1"/>
  <c r="J164" i="26"/>
  <c r="K164" i="26"/>
  <c r="U19" i="26" s="1"/>
  <c r="H164" i="26"/>
  <c r="G95" i="26"/>
  <c r="G94" i="26"/>
  <c r="G93" i="26"/>
  <c r="G98" i="26"/>
  <c r="G99" i="26"/>
  <c r="G100" i="26"/>
  <c r="G101" i="26"/>
  <c r="G102" i="26"/>
  <c r="G103" i="26"/>
  <c r="G104" i="26"/>
  <c r="G105" i="26"/>
  <c r="G106" i="26"/>
  <c r="G97" i="26"/>
  <c r="G84" i="26"/>
  <c r="G87" i="26"/>
  <c r="G88" i="26"/>
  <c r="G89" i="26"/>
  <c r="G90" i="26"/>
  <c r="G69" i="26"/>
  <c r="Q20" i="26" s="1"/>
  <c r="G70" i="26"/>
  <c r="G72" i="26"/>
  <c r="G73" i="26"/>
  <c r="G75" i="26"/>
  <c r="G60" i="26"/>
  <c r="G61" i="26"/>
  <c r="Q14" i="26" s="1"/>
  <c r="G64" i="26"/>
  <c r="G65" i="26"/>
  <c r="G68" i="26"/>
  <c r="G55" i="26"/>
  <c r="G57" i="26"/>
  <c r="G58" i="26"/>
  <c r="G54" i="26"/>
  <c r="F217" i="26"/>
  <c r="F216" i="26" s="1"/>
  <c r="F25" i="22" s="1"/>
  <c r="O25" i="22" s="1"/>
  <c r="G217" i="26"/>
  <c r="G216" i="26" s="1"/>
  <c r="H216" i="26"/>
  <c r="I216" i="26"/>
  <c r="J216" i="26"/>
  <c r="K216" i="26"/>
  <c r="E217" i="26"/>
  <c r="E216" i="26" s="1"/>
  <c r="F185" i="26"/>
  <c r="O18" i="22" s="1"/>
  <c r="G185" i="26"/>
  <c r="H185" i="26"/>
  <c r="Q18" i="22" s="1"/>
  <c r="I185" i="26"/>
  <c r="R18" i="22" s="1"/>
  <c r="J185" i="26"/>
  <c r="S18" i="22" s="1"/>
  <c r="K185" i="26"/>
  <c r="T18" i="22" s="1"/>
  <c r="E185" i="26"/>
  <c r="N18" i="22" s="1"/>
  <c r="F172" i="26"/>
  <c r="H172" i="26"/>
  <c r="I172" i="26"/>
  <c r="J172" i="26"/>
  <c r="K172" i="26"/>
  <c r="E172" i="26"/>
  <c r="E163" i="26" s="1"/>
  <c r="F158" i="26"/>
  <c r="F157" i="26" s="1"/>
  <c r="H158" i="26"/>
  <c r="I158" i="26"/>
  <c r="I157" i="26" s="1"/>
  <c r="J158" i="26"/>
  <c r="J157" i="26" s="1"/>
  <c r="K158" i="26"/>
  <c r="K157" i="26" s="1"/>
  <c r="E158" i="26"/>
  <c r="E157" i="26" s="1"/>
  <c r="H121" i="26"/>
  <c r="I121" i="26"/>
  <c r="J121" i="26"/>
  <c r="K121" i="26"/>
  <c r="E121" i="26"/>
  <c r="F96" i="26"/>
  <c r="H96" i="26"/>
  <c r="H91" i="26" s="1"/>
  <c r="I96" i="26"/>
  <c r="I91" i="26" s="1"/>
  <c r="J96" i="26"/>
  <c r="J91" i="26" s="1"/>
  <c r="K96" i="26"/>
  <c r="K91" i="26" s="1"/>
  <c r="E96" i="26"/>
  <c r="O23" i="26" s="1"/>
  <c r="O36" i="26" s="1"/>
  <c r="O42" i="26" s="1"/>
  <c r="F86" i="26"/>
  <c r="H86" i="26"/>
  <c r="R12" i="26" s="1"/>
  <c r="I86" i="26"/>
  <c r="J86" i="26"/>
  <c r="T12" i="26" s="1"/>
  <c r="K86" i="26"/>
  <c r="J85" i="26"/>
  <c r="J83" i="26" s="1"/>
  <c r="S13" i="22" s="1"/>
  <c r="K85" i="26"/>
  <c r="F71" i="26"/>
  <c r="P23" i="26" s="1"/>
  <c r="P36" i="26" s="1"/>
  <c r="P42" i="26" s="1"/>
  <c r="H71" i="26"/>
  <c r="I71" i="26"/>
  <c r="S23" i="26" s="1"/>
  <c r="S36" i="26" s="1"/>
  <c r="S42" i="26" s="1"/>
  <c r="J71" i="26"/>
  <c r="T23" i="26" s="1"/>
  <c r="T36" i="26" s="1"/>
  <c r="T42" i="26" s="1"/>
  <c r="K71" i="26"/>
  <c r="U23" i="26" s="1"/>
  <c r="U36" i="26" s="1"/>
  <c r="U42" i="26" s="1"/>
  <c r="E62" i="26"/>
  <c r="K52" i="26"/>
  <c r="U11" i="26" s="1"/>
  <c r="E53" i="26"/>
  <c r="O12" i="26" s="1"/>
  <c r="O32" i="26" s="1"/>
  <c r="G113" i="22"/>
  <c r="G114" i="22"/>
  <c r="G105" i="22"/>
  <c r="G106" i="22"/>
  <c r="G107" i="22"/>
  <c r="G108" i="22"/>
  <c r="G109" i="22"/>
  <c r="G110" i="22"/>
  <c r="G111" i="22"/>
  <c r="G112" i="22"/>
  <c r="F49" i="22"/>
  <c r="F37" i="22"/>
  <c r="K25" i="22"/>
  <c r="T25" i="22" s="1"/>
  <c r="E49" i="22"/>
  <c r="E25" i="22"/>
  <c r="N25" i="22" s="1"/>
  <c r="H10" i="23" l="1"/>
  <c r="R9" i="22"/>
  <c r="O38" i="26"/>
  <c r="O37" i="26"/>
  <c r="R23" i="26"/>
  <c r="R36" i="26" s="1"/>
  <c r="R42" i="26" s="1"/>
  <c r="U12" i="26"/>
  <c r="U32" i="26" s="1"/>
  <c r="I85" i="26"/>
  <c r="S12" i="26"/>
  <c r="S32" i="26" s="1"/>
  <c r="P12" i="26"/>
  <c r="P32" i="26" s="1"/>
  <c r="G53" i="26"/>
  <c r="Q21" i="26"/>
  <c r="R19" i="26"/>
  <c r="R32" i="26" s="1"/>
  <c r="T19" i="26"/>
  <c r="T32" i="26" s="1"/>
  <c r="Q28" i="26"/>
  <c r="Q13" i="26"/>
  <c r="Q33" i="26" s="1"/>
  <c r="Q39" i="26" s="1"/>
  <c r="Q34" i="26"/>
  <c r="Q40" i="26" s="1"/>
  <c r="J62" i="26"/>
  <c r="K83" i="26"/>
  <c r="T13" i="22" s="1"/>
  <c r="H85" i="26"/>
  <c r="H83" i="26" s="1"/>
  <c r="Q13" i="22" s="1"/>
  <c r="F85" i="26"/>
  <c r="I83" i="26"/>
  <c r="R13" i="22" s="1"/>
  <c r="F62" i="26"/>
  <c r="G47" i="26"/>
  <c r="J211" i="26"/>
  <c r="S15" i="22" s="1"/>
  <c r="J213" i="26"/>
  <c r="I211" i="26"/>
  <c r="R15" i="22" s="1"/>
  <c r="I213" i="26"/>
  <c r="H211" i="26"/>
  <c r="Q15" i="22" s="1"/>
  <c r="H213" i="26"/>
  <c r="G107" i="26"/>
  <c r="K211" i="26"/>
  <c r="T15" i="22" s="1"/>
  <c r="K213" i="26"/>
  <c r="J120" i="26"/>
  <c r="J116" i="26" s="1"/>
  <c r="H120" i="26"/>
  <c r="H116" i="26" s="1"/>
  <c r="H62" i="26"/>
  <c r="G121" i="26"/>
  <c r="G120" i="26" s="1"/>
  <c r="G116" i="26" s="1"/>
  <c r="F163" i="26"/>
  <c r="F155" i="26" s="1"/>
  <c r="O17" i="22" s="1"/>
  <c r="H157" i="26"/>
  <c r="J8" i="26"/>
  <c r="S9" i="22" s="1"/>
  <c r="E52" i="26"/>
  <c r="O11" i="26" s="1"/>
  <c r="K8" i="26"/>
  <c r="T9" i="22" s="1"/>
  <c r="E120" i="26"/>
  <c r="E116" i="26" s="1"/>
  <c r="N16" i="22" s="1"/>
  <c r="K120" i="26"/>
  <c r="K116" i="26" s="1"/>
  <c r="F120" i="26"/>
  <c r="F116" i="26" s="1"/>
  <c r="O16" i="22" s="1"/>
  <c r="E91" i="26"/>
  <c r="E83" i="26" s="1"/>
  <c r="N13" i="22" s="1"/>
  <c r="F91" i="26"/>
  <c r="F83" i="26" s="1"/>
  <c r="O13" i="22" s="1"/>
  <c r="F52" i="26"/>
  <c r="J57" i="14"/>
  <c r="F57" i="14" s="1"/>
  <c r="G172" i="26"/>
  <c r="G12" i="26"/>
  <c r="K62" i="26"/>
  <c r="J52" i="26"/>
  <c r="T11" i="26" s="1"/>
  <c r="H163" i="26"/>
  <c r="J163" i="26"/>
  <c r="J155" i="26" s="1"/>
  <c r="H52" i="26"/>
  <c r="G63" i="26"/>
  <c r="Q19" i="26" s="1"/>
  <c r="I52" i="26"/>
  <c r="S11" i="26" s="1"/>
  <c r="I62" i="26"/>
  <c r="G214" i="26"/>
  <c r="G96" i="26"/>
  <c r="G91" i="26" s="1"/>
  <c r="G164" i="26"/>
  <c r="I120" i="26"/>
  <c r="I116" i="26" s="1"/>
  <c r="E155" i="26"/>
  <c r="N17" i="22" s="1"/>
  <c r="K163" i="26"/>
  <c r="K155" i="26" s="1"/>
  <c r="I163" i="26"/>
  <c r="I155" i="26" s="1"/>
  <c r="G157" i="26"/>
  <c r="G86" i="26"/>
  <c r="G85" i="26" s="1"/>
  <c r="G71" i="26"/>
  <c r="Q23" i="26" s="1"/>
  <c r="Q36" i="26" s="1"/>
  <c r="Q42" i="26" s="1"/>
  <c r="G47" i="22"/>
  <c r="I37" i="22"/>
  <c r="J37" i="22"/>
  <c r="S37" i="26" l="1"/>
  <c r="S38" i="26"/>
  <c r="U38" i="26"/>
  <c r="U37" i="26"/>
  <c r="J21" i="23"/>
  <c r="J17" i="23" s="1"/>
  <c r="T17" i="22"/>
  <c r="H19" i="23"/>
  <c r="R16" i="22"/>
  <c r="S18" i="26"/>
  <c r="G19" i="23"/>
  <c r="Q16" i="22"/>
  <c r="P18" i="26"/>
  <c r="R37" i="26"/>
  <c r="R38" i="26"/>
  <c r="O18" i="26"/>
  <c r="O10" i="26" s="1"/>
  <c r="U18" i="26"/>
  <c r="U10" i="26" s="1"/>
  <c r="P11" i="26"/>
  <c r="J19" i="23"/>
  <c r="T16" i="22"/>
  <c r="R18" i="26"/>
  <c r="I19" i="23"/>
  <c r="S16" i="22"/>
  <c r="Q25" i="26"/>
  <c r="T18" i="26"/>
  <c r="T38" i="26"/>
  <c r="T37" i="26"/>
  <c r="P38" i="26"/>
  <c r="P37" i="26"/>
  <c r="R11" i="26"/>
  <c r="R10" i="26" s="1"/>
  <c r="H50" i="26"/>
  <c r="T10" i="26"/>
  <c r="G52" i="26"/>
  <c r="Q11" i="26" s="1"/>
  <c r="Q12" i="26"/>
  <c r="Q32" i="26" s="1"/>
  <c r="I21" i="23"/>
  <c r="I17" i="23" s="1"/>
  <c r="S17" i="22"/>
  <c r="H21" i="23"/>
  <c r="H17" i="23" s="1"/>
  <c r="R17" i="22"/>
  <c r="S10" i="26"/>
  <c r="G83" i="26"/>
  <c r="F50" i="26"/>
  <c r="O12" i="22" s="1"/>
  <c r="E50" i="26"/>
  <c r="G11" i="26"/>
  <c r="G211" i="26"/>
  <c r="P15" i="22" s="1"/>
  <c r="J50" i="26"/>
  <c r="G213" i="26"/>
  <c r="H155" i="26"/>
  <c r="E15" i="23"/>
  <c r="E12" i="23" s="1"/>
  <c r="E21" i="23"/>
  <c r="J10" i="23"/>
  <c r="I10" i="23"/>
  <c r="E19" i="23"/>
  <c r="I50" i="26"/>
  <c r="G8" i="26"/>
  <c r="G163" i="26"/>
  <c r="G155" i="26" s="1"/>
  <c r="G19" i="26"/>
  <c r="G62" i="26"/>
  <c r="Q12" i="22"/>
  <c r="K50" i="26"/>
  <c r="G46" i="22"/>
  <c r="Q18" i="26" l="1"/>
  <c r="Q10" i="26" s="1"/>
  <c r="G21" i="23"/>
  <c r="G17" i="23" s="1"/>
  <c r="Q17" i="22"/>
  <c r="P10" i="26"/>
  <c r="G50" i="26"/>
  <c r="Q37" i="26"/>
  <c r="Q38" i="26"/>
  <c r="E7" i="26"/>
  <c r="N12" i="22"/>
  <c r="I7" i="26"/>
  <c r="R12" i="22"/>
  <c r="J7" i="26"/>
  <c r="S12" i="22"/>
  <c r="K7" i="26"/>
  <c r="T12" i="22"/>
  <c r="E17" i="23"/>
  <c r="F7" i="26"/>
  <c r="H7" i="26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L20" i="22"/>
  <c r="L21" i="22"/>
  <c r="L22" i="22"/>
  <c r="L23" i="22"/>
  <c r="H139" i="14"/>
  <c r="G139" i="14"/>
  <c r="I139" i="14"/>
  <c r="G7" i="26" l="1"/>
  <c r="P12" i="22"/>
  <c r="D136" i="14"/>
  <c r="D145" i="14" s="1"/>
  <c r="E9" i="23" l="1"/>
  <c r="E122" i="14" l="1"/>
  <c r="E119" i="14" s="1"/>
  <c r="F164" i="14"/>
  <c r="F165" i="14"/>
  <c r="F167" i="14"/>
  <c r="F168" i="14"/>
  <c r="K166" i="14"/>
  <c r="AC8" i="9"/>
  <c r="AC9" i="9"/>
  <c r="AC10" i="9"/>
  <c r="AC11" i="9"/>
  <c r="AC12" i="9"/>
  <c r="AC13" i="9"/>
  <c r="AC14" i="9"/>
  <c r="AC15" i="9"/>
  <c r="AC16" i="9"/>
  <c r="AC17" i="9"/>
  <c r="AB9" i="9"/>
  <c r="AB10" i="9"/>
  <c r="AB11" i="9"/>
  <c r="AB12" i="9"/>
  <c r="AB13" i="9"/>
  <c r="AB14" i="9"/>
  <c r="AB15" i="9"/>
  <c r="AB16" i="9"/>
  <c r="AB17" i="9"/>
  <c r="AB8" i="9"/>
  <c r="Q8" i="9"/>
  <c r="Q9" i="9"/>
  <c r="Q10" i="9"/>
  <c r="Q11" i="9"/>
  <c r="Q12" i="9"/>
  <c r="Q13" i="9"/>
  <c r="Q14" i="9"/>
  <c r="Q15" i="9"/>
  <c r="Q16" i="9"/>
  <c r="Q17" i="9"/>
  <c r="L8" i="9"/>
  <c r="L9" i="9"/>
  <c r="L10" i="9"/>
  <c r="L11" i="9"/>
  <c r="L12" i="9"/>
  <c r="L13" i="9"/>
  <c r="L14" i="9"/>
  <c r="L15" i="9"/>
  <c r="L16" i="9"/>
  <c r="L17" i="9"/>
  <c r="F131" i="14"/>
  <c r="F124" i="14"/>
  <c r="F123" i="14"/>
  <c r="AF13" i="9" l="1"/>
  <c r="AF17" i="9"/>
  <c r="AF16" i="9"/>
  <c r="AF11" i="9"/>
  <c r="AA15" i="9"/>
  <c r="J93" i="14"/>
  <c r="U43" i="26" s="1"/>
  <c r="I93" i="14"/>
  <c r="T43" i="26" s="1"/>
  <c r="AA13" i="9"/>
  <c r="AF12" i="9"/>
  <c r="AA12" i="9"/>
  <c r="AA8" i="9"/>
  <c r="AF8" i="9"/>
  <c r="AA10" i="9"/>
  <c r="AF10" i="9"/>
  <c r="AA9" i="9"/>
  <c r="AF9" i="9"/>
  <c r="AA11" i="9"/>
  <c r="AA17" i="9"/>
  <c r="AF15" i="9"/>
  <c r="AA16" i="9"/>
  <c r="AF14" i="9"/>
  <c r="AA14" i="9"/>
  <c r="G12" i="23"/>
  <c r="F130" i="14" l="1"/>
  <c r="H9" i="23" l="1"/>
  <c r="G9" i="23" l="1"/>
  <c r="H12" i="23" l="1"/>
  <c r="F16" i="23"/>
  <c r="F15" i="23"/>
  <c r="F13" i="23"/>
  <c r="F11" i="23"/>
  <c r="F10" i="23"/>
  <c r="I8" i="22" l="1"/>
  <c r="H51" i="14" l="1"/>
  <c r="R8" i="22" s="1"/>
  <c r="H68" i="14" l="1"/>
  <c r="H52" i="14"/>
  <c r="H58" i="14" s="1"/>
  <c r="F125" i="14" l="1"/>
  <c r="F73" i="14"/>
  <c r="V9" i="9"/>
  <c r="F126" i="14" l="1"/>
  <c r="F127" i="14"/>
  <c r="I11" i="22"/>
  <c r="H11" i="22"/>
  <c r="F117" i="14" l="1"/>
  <c r="G91" i="22"/>
  <c r="I9" i="23" l="1"/>
  <c r="J9" i="23"/>
  <c r="F21" i="23"/>
  <c r="V10" i="9"/>
  <c r="V11" i="9"/>
  <c r="V12" i="9"/>
  <c r="V13" i="9"/>
  <c r="V14" i="9"/>
  <c r="V15" i="9"/>
  <c r="V16" i="9"/>
  <c r="V17" i="9"/>
  <c r="V8" i="9"/>
  <c r="P120" i="14"/>
  <c r="J11" i="22"/>
  <c r="K11" i="22"/>
  <c r="E93" i="14"/>
  <c r="P43" i="26" s="1"/>
  <c r="F7" i="22"/>
  <c r="J12" i="23"/>
  <c r="F64" i="14"/>
  <c r="H86" i="14"/>
  <c r="S8" i="26" s="1"/>
  <c r="J52" i="14"/>
  <c r="J100" i="14"/>
  <c r="J68" i="14"/>
  <c r="I68" i="14"/>
  <c r="G68" i="14"/>
  <c r="G82" i="22"/>
  <c r="G83" i="22"/>
  <c r="G84" i="22"/>
  <c r="G80" i="22"/>
  <c r="E68" i="14"/>
  <c r="E59" i="14"/>
  <c r="G78" i="22"/>
  <c r="G9" i="22"/>
  <c r="P9" i="22" s="1"/>
  <c r="G72" i="22"/>
  <c r="G70" i="22"/>
  <c r="G69" i="22"/>
  <c r="G68" i="22"/>
  <c r="G67" i="22"/>
  <c r="G66" i="22"/>
  <c r="G65" i="22"/>
  <c r="G64" i="22"/>
  <c r="G44" i="22"/>
  <c r="G45" i="22"/>
  <c r="G50" i="22"/>
  <c r="D59" i="14"/>
  <c r="F20" i="23"/>
  <c r="G23" i="22"/>
  <c r="I12" i="23"/>
  <c r="G42" i="22"/>
  <c r="G43" i="22"/>
  <c r="G39" i="22"/>
  <c r="G40" i="22"/>
  <c r="G38" i="22"/>
  <c r="G41" i="22"/>
  <c r="E52" i="14"/>
  <c r="E58" i="14" s="1"/>
  <c r="D95" i="14"/>
  <c r="E7" i="22"/>
  <c r="F26" i="23"/>
  <c r="F27" i="23"/>
  <c r="F28" i="23"/>
  <c r="F29" i="23"/>
  <c r="F30" i="23"/>
  <c r="F31" i="23"/>
  <c r="F32" i="23"/>
  <c r="F33" i="23"/>
  <c r="F41" i="23"/>
  <c r="F42" i="23"/>
  <c r="F43" i="23"/>
  <c r="F44" i="23"/>
  <c r="F45" i="23"/>
  <c r="F46" i="23"/>
  <c r="F47" i="23"/>
  <c r="F73" i="23"/>
  <c r="F72" i="23"/>
  <c r="G16" i="22"/>
  <c r="P16" i="22" s="1"/>
  <c r="G18" i="22"/>
  <c r="P18" i="22" s="1"/>
  <c r="G74" i="22"/>
  <c r="G75" i="22"/>
  <c r="G76" i="22"/>
  <c r="G77" i="22"/>
  <c r="F139" i="14"/>
  <c r="F137" i="14" s="1"/>
  <c r="F19" i="23"/>
  <c r="F18" i="23"/>
  <c r="G19" i="9"/>
  <c r="G18" i="9" s="1"/>
  <c r="G20" i="9" s="1"/>
  <c r="F8" i="24"/>
  <c r="F48" i="24"/>
  <c r="D131" i="26"/>
  <c r="D7" i="26"/>
  <c r="D152" i="14"/>
  <c r="E152" i="14"/>
  <c r="F152" i="14"/>
  <c r="G152" i="14"/>
  <c r="H152" i="14"/>
  <c r="I152" i="14"/>
  <c r="J152" i="14"/>
  <c r="C152" i="14"/>
  <c r="D147" i="14"/>
  <c r="E147" i="14"/>
  <c r="F147" i="14"/>
  <c r="G147" i="14"/>
  <c r="H147" i="14"/>
  <c r="I147" i="14"/>
  <c r="J147" i="14"/>
  <c r="C147" i="14"/>
  <c r="C157" i="14" s="1"/>
  <c r="E136" i="14"/>
  <c r="E145" i="14" s="1"/>
  <c r="D114" i="14"/>
  <c r="D132" i="14" s="1"/>
  <c r="E114" i="14"/>
  <c r="E132" i="14" s="1"/>
  <c r="C122" i="14"/>
  <c r="C119" i="14" s="1"/>
  <c r="C132" i="14" s="1"/>
  <c r="C163" i="14"/>
  <c r="D163" i="14"/>
  <c r="E163" i="14"/>
  <c r="AE19" i="9"/>
  <c r="AE18" i="9" s="1"/>
  <c r="AE20" i="9" s="1"/>
  <c r="AD19" i="9"/>
  <c r="AD18" i="9" s="1"/>
  <c r="AD20" i="9" s="1"/>
  <c r="AC19" i="9"/>
  <c r="AC18" i="9" s="1"/>
  <c r="AC20" i="9" s="1"/>
  <c r="AB19" i="9"/>
  <c r="AB18" i="9" s="1"/>
  <c r="AB20" i="9" s="1"/>
  <c r="V19" i="9"/>
  <c r="V18" i="9" s="1"/>
  <c r="V20" i="9" s="1"/>
  <c r="Q19" i="9"/>
  <c r="Q18" i="9" s="1"/>
  <c r="Q20" i="9" s="1"/>
  <c r="L19" i="9"/>
  <c r="L18" i="9" s="1"/>
  <c r="L20" i="9" s="1"/>
  <c r="G13" i="22"/>
  <c r="P13" i="22" s="1"/>
  <c r="G21" i="22"/>
  <c r="G22" i="22"/>
  <c r="G36" i="22"/>
  <c r="G104" i="22"/>
  <c r="E100" i="14"/>
  <c r="D100" i="14"/>
  <c r="E95" i="14"/>
  <c r="C95" i="14"/>
  <c r="D93" i="14"/>
  <c r="O43" i="26" s="1"/>
  <c r="C93" i="14"/>
  <c r="N43" i="26" s="1"/>
  <c r="D189" i="14"/>
  <c r="E189" i="14"/>
  <c r="E193" i="14" s="1"/>
  <c r="C189" i="14"/>
  <c r="D185" i="14"/>
  <c r="E185" i="14"/>
  <c r="F185" i="14"/>
  <c r="F177" i="14"/>
  <c r="F178" i="14"/>
  <c r="F179" i="14"/>
  <c r="D176" i="14"/>
  <c r="E176" i="14"/>
  <c r="G176" i="14"/>
  <c r="H176" i="14"/>
  <c r="I176" i="14"/>
  <c r="J176" i="14"/>
  <c r="C176" i="14"/>
  <c r="F173" i="14"/>
  <c r="F174" i="14"/>
  <c r="F175" i="14"/>
  <c r="D172" i="14"/>
  <c r="E172" i="14"/>
  <c r="G172" i="14"/>
  <c r="H172" i="14"/>
  <c r="I172" i="14"/>
  <c r="J172" i="14"/>
  <c r="C172" i="14"/>
  <c r="F170" i="14"/>
  <c r="F108" i="14"/>
  <c r="D107" i="14"/>
  <c r="E107" i="14"/>
  <c r="C107" i="14"/>
  <c r="F96" i="14"/>
  <c r="F97" i="14"/>
  <c r="F99" i="14"/>
  <c r="F101" i="14"/>
  <c r="F102" i="14"/>
  <c r="F103" i="14"/>
  <c r="F104" i="14"/>
  <c r="F105" i="14"/>
  <c r="F106" i="14"/>
  <c r="G100" i="14"/>
  <c r="H100" i="14"/>
  <c r="I100" i="14"/>
  <c r="C100" i="14"/>
  <c r="D68" i="14"/>
  <c r="C68" i="14"/>
  <c r="F61" i="14"/>
  <c r="F62" i="14"/>
  <c r="M62" i="14" s="1"/>
  <c r="F63" i="14"/>
  <c r="F66" i="14"/>
  <c r="F69" i="14"/>
  <c r="F70" i="14"/>
  <c r="F71" i="14"/>
  <c r="F72" i="14"/>
  <c r="F75" i="14"/>
  <c r="F76" i="14"/>
  <c r="F78" i="14"/>
  <c r="F80" i="14"/>
  <c r="F81" i="14"/>
  <c r="F83" i="14"/>
  <c r="F84" i="14"/>
  <c r="C65" i="14"/>
  <c r="C59" i="14"/>
  <c r="D52" i="14"/>
  <c r="D58" i="14" s="1"/>
  <c r="C52" i="14"/>
  <c r="C58" i="14" s="1"/>
  <c r="K176" i="14"/>
  <c r="K172" i="14"/>
  <c r="K58" i="14"/>
  <c r="K74" i="14" s="1"/>
  <c r="K79" i="14" s="1"/>
  <c r="K82" i="14" s="1"/>
  <c r="E82" i="14"/>
  <c r="I157" i="14"/>
  <c r="I52" i="14"/>
  <c r="J95" i="14"/>
  <c r="M71" i="14" l="1"/>
  <c r="C85" i="14"/>
  <c r="M7" i="22" s="1"/>
  <c r="M11" i="22"/>
  <c r="F17" i="23"/>
  <c r="F157" i="14"/>
  <c r="G157" i="14"/>
  <c r="E157" i="14"/>
  <c r="C74" i="14"/>
  <c r="F172" i="14"/>
  <c r="D157" i="14"/>
  <c r="H157" i="14"/>
  <c r="I7" i="22"/>
  <c r="G11" i="22"/>
  <c r="C193" i="14"/>
  <c r="D65" i="14"/>
  <c r="D79" i="14"/>
  <c r="E65" i="14"/>
  <c r="J86" i="14"/>
  <c r="U8" i="26" s="1"/>
  <c r="F189" i="14"/>
  <c r="F193" i="14" s="1"/>
  <c r="J157" i="14"/>
  <c r="G37" i="22"/>
  <c r="J143" i="14"/>
  <c r="J163" i="14"/>
  <c r="H143" i="14"/>
  <c r="H137" i="14" s="1"/>
  <c r="H136" i="14" s="1"/>
  <c r="H169" i="14"/>
  <c r="H163" i="14" s="1"/>
  <c r="J135" i="14"/>
  <c r="J134" i="14" s="1"/>
  <c r="C111" i="14"/>
  <c r="F176" i="14"/>
  <c r="H8" i="22"/>
  <c r="H135" i="14"/>
  <c r="H134" i="14" s="1"/>
  <c r="H145" i="14" s="1"/>
  <c r="D193" i="14"/>
  <c r="D111" i="14"/>
  <c r="D86" i="14"/>
  <c r="O8" i="26" s="1"/>
  <c r="E86" i="14"/>
  <c r="P8" i="26" s="1"/>
  <c r="F110" i="14"/>
  <c r="F68" i="14"/>
  <c r="G88" i="22"/>
  <c r="G85" i="22"/>
  <c r="G86" i="22"/>
  <c r="G87" i="22"/>
  <c r="F55" i="14"/>
  <c r="F9" i="23"/>
  <c r="F12" i="23"/>
  <c r="C86" i="14"/>
  <c r="N8" i="26" s="1"/>
  <c r="I86" i="14"/>
  <c r="T8" i="26" s="1"/>
  <c r="F100" i="14"/>
  <c r="AA19" i="9"/>
  <c r="AA18" i="9" s="1"/>
  <c r="AA20" i="9" s="1"/>
  <c r="G21" i="9" s="1"/>
  <c r="I49" i="22"/>
  <c r="G17" i="22"/>
  <c r="P17" i="22" s="1"/>
  <c r="J107" i="14"/>
  <c r="J111" i="14" s="1"/>
  <c r="K8" i="22"/>
  <c r="H114" i="14"/>
  <c r="J8" i="22"/>
  <c r="E111" i="14"/>
  <c r="J65" i="14"/>
  <c r="T11" i="22" s="1"/>
  <c r="K49" i="22"/>
  <c r="H93" i="14"/>
  <c r="S43" i="26" s="1"/>
  <c r="H95" i="14"/>
  <c r="I65" i="14"/>
  <c r="S11" i="22" s="1"/>
  <c r="H65" i="14"/>
  <c r="H107" i="14"/>
  <c r="I95" i="14"/>
  <c r="I107" i="14"/>
  <c r="D85" i="14" l="1"/>
  <c r="N7" i="22" s="1"/>
  <c r="N11" i="22"/>
  <c r="E85" i="14"/>
  <c r="O7" i="22" s="1"/>
  <c r="O11" i="22"/>
  <c r="H85" i="14"/>
  <c r="H74" i="14"/>
  <c r="H79" i="14" s="1"/>
  <c r="R11" i="22"/>
  <c r="R7" i="22"/>
  <c r="C158" i="14"/>
  <c r="C160" i="14" s="1"/>
  <c r="J51" i="14"/>
  <c r="J114" i="14"/>
  <c r="I51" i="14"/>
  <c r="I114" i="14"/>
  <c r="H7" i="22"/>
  <c r="G114" i="14"/>
  <c r="G132" i="14" s="1"/>
  <c r="G71" i="22"/>
  <c r="K7" i="22"/>
  <c r="J7" i="22"/>
  <c r="G52" i="14"/>
  <c r="F52" i="14" s="1"/>
  <c r="J137" i="14"/>
  <c r="J136" i="14" s="1"/>
  <c r="J145" i="14" s="1"/>
  <c r="H49" i="22"/>
  <c r="I137" i="14"/>
  <c r="I136" i="14" s="1"/>
  <c r="I163" i="14"/>
  <c r="I135" i="14"/>
  <c r="I134" i="14" s="1"/>
  <c r="I145" i="14" s="1"/>
  <c r="E158" i="14"/>
  <c r="E160" i="14" s="1"/>
  <c r="G169" i="14"/>
  <c r="F46" i="24"/>
  <c r="F67" i="14"/>
  <c r="G51" i="14"/>
  <c r="Q8" i="22" s="1"/>
  <c r="F53" i="14"/>
  <c r="D158" i="14"/>
  <c r="D160" i="14" s="1"/>
  <c r="F54" i="14"/>
  <c r="M55" i="14" s="1"/>
  <c r="G49" i="22"/>
  <c r="J119" i="14"/>
  <c r="I119" i="14"/>
  <c r="I111" i="14"/>
  <c r="H111" i="14"/>
  <c r="I132" i="14" l="1"/>
  <c r="J85" i="14"/>
  <c r="T7" i="22" s="1"/>
  <c r="T8" i="22"/>
  <c r="I58" i="14"/>
  <c r="I74" i="14" s="1"/>
  <c r="I79" i="14" s="1"/>
  <c r="S8" i="22"/>
  <c r="J132" i="14"/>
  <c r="J158" i="14" s="1"/>
  <c r="J160" i="14" s="1"/>
  <c r="J58" i="14"/>
  <c r="J74" i="14" s="1"/>
  <c r="J79" i="14" s="1"/>
  <c r="J82" i="14" s="1"/>
  <c r="G58" i="14"/>
  <c r="I85" i="14"/>
  <c r="S7" i="22" s="1"/>
  <c r="F60" i="14"/>
  <c r="F51" i="14"/>
  <c r="G163" i="14"/>
  <c r="F169" i="14"/>
  <c r="F136" i="14"/>
  <c r="F145" i="14" s="1"/>
  <c r="K135" i="14"/>
  <c r="F7" i="24"/>
  <c r="G65" i="14"/>
  <c r="G93" i="14"/>
  <c r="R43" i="26" s="1"/>
  <c r="G8" i="22"/>
  <c r="P8" i="22" l="1"/>
  <c r="G85" i="14"/>
  <c r="Q7" i="22" s="1"/>
  <c r="Q11" i="22"/>
  <c r="I158" i="14"/>
  <c r="I160" i="14" s="1"/>
  <c r="F115" i="14"/>
  <c r="F114" i="14" s="1"/>
  <c r="G7" i="22"/>
  <c r="F59" i="14"/>
  <c r="G74" i="14"/>
  <c r="G79" i="14" s="1"/>
  <c r="G86" i="14"/>
  <c r="G136" i="14"/>
  <c r="G145" i="14" s="1"/>
  <c r="F163" i="14"/>
  <c r="F65" i="14"/>
  <c r="P11" i="22" s="1"/>
  <c r="F128" i="14"/>
  <c r="F93" i="14"/>
  <c r="Q43" i="26" s="1"/>
  <c r="G107" i="14"/>
  <c r="F109" i="14"/>
  <c r="F122" i="14"/>
  <c r="G95" i="14"/>
  <c r="F98" i="14"/>
  <c r="O121" i="14" s="1"/>
  <c r="F86" i="14" l="1"/>
  <c r="Q8" i="26" s="1"/>
  <c r="R8" i="26"/>
  <c r="F85" i="14"/>
  <c r="P7" i="22" s="1"/>
  <c r="F107" i="14"/>
  <c r="F58" i="14"/>
  <c r="G111" i="14"/>
  <c r="F95" i="14"/>
  <c r="G158" i="14" l="1"/>
  <c r="G160" i="14" s="1"/>
  <c r="F111" i="14"/>
  <c r="F74" i="14"/>
  <c r="H119" i="14" l="1"/>
  <c r="F119" i="14" l="1"/>
  <c r="F132" i="14" s="1"/>
  <c r="F158" i="14" s="1"/>
  <c r="F160" i="14" s="1"/>
  <c r="H132" i="14"/>
  <c r="F82" i="14"/>
  <c r="H158" i="14" l="1"/>
  <c r="H160" i="14" s="1"/>
</calcChain>
</file>

<file path=xl/sharedStrings.xml><?xml version="1.0" encoding="utf-8"?>
<sst xmlns="http://schemas.openxmlformats.org/spreadsheetml/2006/main" count="1111" uniqueCount="539">
  <si>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</si>
  <si>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</si>
  <si>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</si>
  <si>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</si>
  <si>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</si>
  <si>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</si>
  <si>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</si>
  <si>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</si>
  <si>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</si>
  <si>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</si>
  <si>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</si>
  <si>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</si>
  <si>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</si>
  <si>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</si>
  <si>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Територія</t>
  </si>
  <si>
    <t>Форма власності</t>
  </si>
  <si>
    <t>Інші операційні витрати</t>
  </si>
  <si>
    <t>Чистий грошовий потік</t>
  </si>
  <si>
    <t>х</t>
  </si>
  <si>
    <t>№ з/п</t>
  </si>
  <si>
    <t>Залучення кредитних коштів</t>
  </si>
  <si>
    <t>Усього</t>
  </si>
  <si>
    <t>Відсоток</t>
  </si>
  <si>
    <t xml:space="preserve">ІV </t>
  </si>
  <si>
    <t xml:space="preserve">ІІІ </t>
  </si>
  <si>
    <t xml:space="preserve">І </t>
  </si>
  <si>
    <t xml:space="preserve">ІІ </t>
  </si>
  <si>
    <t>(посада)</t>
  </si>
  <si>
    <t>(підпис)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</si>
  <si>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</si>
  <si>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</si>
  <si>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</si>
  <si>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</si>
  <si>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у тому числі за кварталами</t>
  </si>
  <si>
    <t>Фінансовий результат до оподаткування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</si>
  <si>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</si>
  <si>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</si>
  <si>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</si>
  <si>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</si>
  <si>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</si>
  <si>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</si>
  <si>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</si>
  <si>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</si>
  <si>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</si>
  <si>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</si>
  <si>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</si>
  <si>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</si>
  <si>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</si>
  <si>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</si>
  <si>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</si>
  <si>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</si>
  <si>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</si>
  <si>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</si>
  <si>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</si>
  <si>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</si>
  <si>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Основні фінансові показники</t>
  </si>
  <si>
    <t>Капітальні інвестиції</t>
  </si>
  <si>
    <t>x</t>
  </si>
  <si>
    <t>Елементи операційних витрат</t>
  </si>
  <si>
    <t>Найменування об’єкта</t>
  </si>
  <si>
    <t>____________________________________________</t>
  </si>
  <si>
    <t>Коди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</si>
  <si>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</si>
  <si>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</si>
  <si>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</si>
  <si>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</si>
  <si>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Власні кошти (розшифрувати)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</si>
  <si>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</si>
  <si>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</si>
  <si>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</si>
  <si>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</si>
  <si>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</si>
  <si>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</si>
  <si>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</si>
  <si>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</si>
  <si>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</si>
  <si>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</si>
  <si>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</si>
  <si>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</si>
  <si>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</si>
  <si>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</si>
  <si>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</si>
  <si>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</si>
  <si>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</si>
  <si>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</si>
  <si>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</si>
  <si>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</si>
  <si>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</si>
  <si>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</si>
  <si>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</si>
  <si>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</si>
  <si>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</si>
  <si>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</si>
  <si>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</si>
  <si>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</si>
  <si>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</si>
  <si>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</si>
  <si>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</si>
  <si>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</si>
  <si>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</si>
  <si>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</si>
  <si>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</si>
  <si>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</si>
  <si>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</si>
  <si>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</si>
  <si>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</si>
  <si>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</si>
  <si>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</si>
  <si>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</si>
  <si>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</si>
  <si>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</si>
  <si>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</si>
  <si>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</si>
  <si>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</si>
  <si>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</si>
  <si>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</si>
  <si>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</si>
  <si>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</si>
  <si>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</si>
  <si>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</si>
  <si>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</si>
  <si>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</si>
  <si>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</si>
  <si>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 xml:space="preserve">у тому числі за кварталами </t>
  </si>
  <si>
    <t>(тис.грн.)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</si>
  <si>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</si>
  <si>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</si>
  <si>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</si>
  <si>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</si>
  <si>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</si>
  <si>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</si>
  <si>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</si>
  <si>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</si>
  <si>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</si>
  <si>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</si>
  <si>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</si>
  <si>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</si>
  <si>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</si>
  <si>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</si>
  <si>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</si>
  <si>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</si>
  <si>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</si>
  <si>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</si>
  <si>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</si>
  <si>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</si>
  <si>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</si>
  <si>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</si>
  <si>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</si>
  <si>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тис. грн</t>
  </si>
  <si>
    <t xml:space="preserve">                   (підпис)</t>
  </si>
  <si>
    <t>Надходження грошових коштів від операційної діяльності</t>
  </si>
  <si>
    <t>Інші надходження, усього, у тому числі:</t>
  </si>
  <si>
    <t xml:space="preserve">капітальний ремонт, усього, у тому числі: </t>
  </si>
  <si>
    <t/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</si>
  <si>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</si>
  <si>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</si>
  <si>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</si>
  <si>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Інші адміністративні витрати (розшифрувати)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</si>
  <si>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</si>
  <si>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</si>
  <si>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</si>
  <si>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</si>
  <si>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</si>
  <si>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</si>
  <si>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</si>
  <si>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</si>
  <si>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</si>
  <si>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</si>
  <si>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</si>
  <si>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</si>
  <si>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</si>
  <si>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</si>
  <si>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</si>
  <si>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</si>
  <si>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</si>
  <si>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</si>
  <si>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</si>
  <si>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</si>
  <si>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</si>
  <si>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</si>
  <si>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</si>
  <si>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</si>
  <si>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</si>
  <si>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</si>
  <si>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</si>
  <si>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</si>
  <si>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</si>
  <si>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</si>
  <si>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</si>
  <si>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</si>
  <si>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</si>
  <si>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</si>
  <si>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</si>
  <si>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</si>
  <si>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</si>
  <si>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</si>
  <si>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</si>
  <si>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ІІІ "Рух грошових коштів (за прямим методом)"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</si>
  <si>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</si>
  <si>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</si>
  <si>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</si>
  <si>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3.1</t>
  </si>
  <si>
    <t>3.2</t>
  </si>
  <si>
    <t>4.</t>
  </si>
  <si>
    <t>4.1</t>
  </si>
  <si>
    <t>5.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</si>
  <si>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</si>
  <si>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</si>
  <si>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5.1</t>
  </si>
  <si>
    <t>5.3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</si>
  <si>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</si>
  <si>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придбання (виготовлення) інших необоротних матеріальних активів (рощшмфрувати)</t>
  </si>
  <si>
    <t>придбання (виготовлення) основних засобів,  усього, у тому числі: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</si>
  <si>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</si>
  <si>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</si>
  <si>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</si>
  <si>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 xml:space="preserve">Суб'єкт управління   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</si>
  <si>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</si>
  <si>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</si>
  <si>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</si>
  <si>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86.10</t>
  </si>
  <si>
    <t>Комунальне некомерційне підприємство "Вінницька міська клінічна лікарня №3"</t>
  </si>
  <si>
    <t>Вінниця</t>
  </si>
  <si>
    <t>Діяльність лікарняних закладів</t>
  </si>
  <si>
    <t>Комунальна</t>
  </si>
  <si>
    <t>м. Вінниця, вул. Маяковського, 138</t>
  </si>
  <si>
    <t>(0432) 60-58-14</t>
  </si>
  <si>
    <t>тис.грн</t>
  </si>
  <si>
    <t>витрати на оплату праці</t>
  </si>
  <si>
    <t>відрахування на соціальні заходи</t>
  </si>
  <si>
    <t>ремонт медичного обладнання</t>
  </si>
  <si>
    <t>повірка вогнегасників</t>
  </si>
  <si>
    <t>послуги з охорони</t>
  </si>
  <si>
    <t>супровід програмного забезпечення</t>
  </si>
  <si>
    <t>відшкодування пільгових пенсій</t>
  </si>
  <si>
    <t>будівельні матеріали</t>
  </si>
  <si>
    <t>медичні бланки</t>
  </si>
  <si>
    <t>заміна теплового лічильника</t>
  </si>
  <si>
    <t>технічне обслуговування компютерної техніки</t>
  </si>
  <si>
    <t>засоби для прання,прибирання</t>
  </si>
  <si>
    <t>папір для друку рентгензнімків</t>
  </si>
  <si>
    <t>канцелярські товари</t>
  </si>
  <si>
    <t>інші послуги по обслуговуванню приміщень закладу</t>
  </si>
  <si>
    <t>надходження від відсотків за залишками коштів на поточних рахунках</t>
  </si>
  <si>
    <t>придбання хімреактивів, реагентів, тощо</t>
  </si>
  <si>
    <t>оплата ТВП</t>
  </si>
  <si>
    <t>виконання програми "Інформатизація галузі охорони здоровя м. Вінниці на 2016-2020 роки</t>
  </si>
  <si>
    <t>оплата енергоносіїв</t>
  </si>
  <si>
    <t>продукти харчування</t>
  </si>
  <si>
    <t>господарські товари</t>
  </si>
  <si>
    <t>-</t>
  </si>
  <si>
    <t>теплопостачання</t>
  </si>
  <si>
    <t>електроенергія</t>
  </si>
  <si>
    <t>оплата водопостачання та водовідведення</t>
  </si>
  <si>
    <t>оплата електроенергії</t>
  </si>
  <si>
    <t>оплата теплопостачання</t>
  </si>
  <si>
    <t>Адміністративні витрати, усього , у т.ч:</t>
  </si>
  <si>
    <t>до рішення виконавчого комітету міської ради</t>
  </si>
  <si>
    <t>від_______________№_________________</t>
  </si>
  <si>
    <t>Директор департаменту охорони здоров'я міської ради</t>
  </si>
  <si>
    <t>Директор департаменту фінансів міської ради</t>
  </si>
  <si>
    <t>Комунальне некомерційне підприємство</t>
  </si>
  <si>
    <t xml:space="preserve">Нараховані до сплати податки та збори до Державного бюджету України (податкові платежі) </t>
  </si>
  <si>
    <t>Матеріальні витрати (медикаменти та перевязувальні матеріали)</t>
  </si>
  <si>
    <t>1.1.1</t>
  </si>
  <si>
    <t>1.1.2</t>
  </si>
  <si>
    <t>1.2.2</t>
  </si>
  <si>
    <t>Матеріальні витрати (витрати на продукти харчування)</t>
  </si>
  <si>
    <t>енергозберігаючі лампи</t>
  </si>
  <si>
    <t>виконання програми "СТОП ГРИПП" у Вінниці 2016-2019 роки</t>
  </si>
  <si>
    <t>медикаменти та перев'язувальні матеріали</t>
  </si>
  <si>
    <t>витрати пов'язані з використанням службових автомобілей</t>
  </si>
  <si>
    <t>метрологія та вимірювання опору ізоляції</t>
  </si>
  <si>
    <t>послуги архіву</t>
  </si>
  <si>
    <t>послуги інтернету</t>
  </si>
  <si>
    <t>технічне обслуговування  ліфтів</t>
  </si>
  <si>
    <t>послуги дератизації та дезинфкції</t>
  </si>
  <si>
    <t>технічний огляд автомобілів, страхування водіїв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</si>
  <si>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</t>
  </si>
  <si>
    <t>1.1.3</t>
  </si>
  <si>
    <t>водопостачання та водовідведення</t>
  </si>
  <si>
    <t>Кошти від реалізації майна в установленому порядку</t>
  </si>
  <si>
    <t>монтаж шлагбаума</t>
  </si>
  <si>
    <t>Нарахована амортизація на безоплатно отримані активи</t>
  </si>
  <si>
    <t>Системний блок Celeron</t>
  </si>
  <si>
    <t>Тележка внутрішньокорпусна</t>
  </si>
  <si>
    <t>Ліжко функціональне (3шт.)</t>
  </si>
  <si>
    <t>Холодильник SNAIGE RF</t>
  </si>
  <si>
    <t>Насос волюметричний (інфузійний) N-1600 (3шт.)</t>
  </si>
  <si>
    <t>Каталка OSD-A105B</t>
  </si>
  <si>
    <t>Протипролежневий матрац (сек.матрац з ком.і стат.)(3 шт.)</t>
  </si>
  <si>
    <t>Лычильник теплової енгергії Sharky-775</t>
  </si>
  <si>
    <t>Електрокардіограф ECG 600G (1шт.)</t>
  </si>
  <si>
    <t>Настінна панель (3шт.)</t>
  </si>
  <si>
    <t>господарчий інвентар</t>
  </si>
  <si>
    <t>Ліжко медичне Еlenger (3 шт.)</t>
  </si>
  <si>
    <t>Апарат ШВЛ Сабріна 3шт.</t>
  </si>
  <si>
    <t>Аспіратор 3шт.</t>
  </si>
  <si>
    <t>Насос шприцевий 6шт.</t>
  </si>
  <si>
    <t>Монітор пацієнта 3шт.</t>
  </si>
  <si>
    <t>Дефібрилятор 1шт.</t>
  </si>
  <si>
    <t xml:space="preserve">ПК ( 13 шт) </t>
  </si>
  <si>
    <t>Принтер (2шт.)</t>
  </si>
  <si>
    <t>Шафи (13шт.)</t>
  </si>
  <si>
    <t>Кишеньковий пульсоксиметр (2 шт.)</t>
  </si>
  <si>
    <t>Ваідсмоктувач (1шт.)</t>
  </si>
  <si>
    <t>Посудомийна машина (1шт.)</t>
  </si>
  <si>
    <t>Електрокардіограф триканальний(1шт.)</t>
  </si>
  <si>
    <t>Фотометр МБА (1 шт.)</t>
  </si>
  <si>
    <t>Стільці на рамі (30шт.)</t>
  </si>
  <si>
    <t>Глюкометр (5 шт.)</t>
  </si>
  <si>
    <t>Бойлер (2 шт.)</t>
  </si>
  <si>
    <t>Холодильник Атлант(1шт.)</t>
  </si>
  <si>
    <t>НВЧ піч (1шт.)</t>
  </si>
  <si>
    <t>Постільна білизна</t>
  </si>
  <si>
    <t>Вентилятори (20 шт.)</t>
  </si>
  <si>
    <t>Інструмент робочий (5шт.)</t>
  </si>
  <si>
    <t>01982755</t>
  </si>
  <si>
    <t>0510100000</t>
  </si>
  <si>
    <t>6.1</t>
  </si>
  <si>
    <t>6.2</t>
  </si>
  <si>
    <t>6.3</t>
  </si>
  <si>
    <t>9.1</t>
  </si>
  <si>
    <t xml:space="preserve">кошти орендарів  </t>
  </si>
  <si>
    <t>медикаменти та перевязувальні маиеріали</t>
  </si>
  <si>
    <t>послуги дератизації та дезинфекції</t>
  </si>
  <si>
    <t>мякий інвентар</t>
  </si>
  <si>
    <t>кисневі балони</t>
  </si>
  <si>
    <t>оплата інших послуг (крім комунальних)</t>
  </si>
  <si>
    <t>послуги з охорони приміщень</t>
  </si>
  <si>
    <t>послуги зі зберіганню архівної документації</t>
  </si>
  <si>
    <t>послуги телефонії</t>
  </si>
  <si>
    <t>ТО ліфта</t>
  </si>
  <si>
    <t>послуги по супроводу програмного забезпечення</t>
  </si>
  <si>
    <t>послуги з дератизації та дезінфекції</t>
  </si>
  <si>
    <t>послуги по обслуговуванню платіжних доручень</t>
  </si>
  <si>
    <t>поліграфічні послуги</t>
  </si>
  <si>
    <t>папір для друку</t>
  </si>
  <si>
    <t>інші необоротні матеріальні активи</t>
  </si>
  <si>
    <t>проведення поточного ремонту</t>
  </si>
  <si>
    <t>обслуговування карток</t>
  </si>
  <si>
    <t>1.2.1</t>
  </si>
  <si>
    <t>інші адміністративні витратив т.ч.</t>
  </si>
  <si>
    <t xml:space="preserve">Кошти орендарів  </t>
  </si>
  <si>
    <t>7.1</t>
  </si>
  <si>
    <t>7.2</t>
  </si>
  <si>
    <t>7.3</t>
  </si>
  <si>
    <t>9.2</t>
  </si>
  <si>
    <t>нарахування амортизації на безоплатно отримані активи</t>
  </si>
  <si>
    <t>послуги по зіміні вікон та дверей</t>
  </si>
  <si>
    <t>оплата енргоносіїв</t>
  </si>
  <si>
    <t>Амортизація основних засобів і нематеріальних активів загальногосподарського призначення</t>
  </si>
  <si>
    <t>10</t>
  </si>
  <si>
    <t>10.3</t>
  </si>
  <si>
    <t>платні послуги</t>
  </si>
  <si>
    <t xml:space="preserve">витрати на продукти харчування </t>
  </si>
  <si>
    <t>заміна вікон та дверей</t>
  </si>
  <si>
    <t>кисневі розетки</t>
  </si>
  <si>
    <t>пульсоксиметри</t>
  </si>
  <si>
    <t>одноразовий посуд</t>
  </si>
  <si>
    <t>монтаж, демонтаж вікон</t>
  </si>
  <si>
    <t>поточний ремонт та обслуговування компютерної техніки</t>
  </si>
  <si>
    <t>послуги технагляду</t>
  </si>
  <si>
    <t>послуги повірки</t>
  </si>
  <si>
    <t>№з/п</t>
  </si>
  <si>
    <t>послуги страхування</t>
  </si>
  <si>
    <t>проведення поточного ремолнту</t>
  </si>
  <si>
    <t>кошти від реалізації майна в установленому порядку</t>
  </si>
  <si>
    <t>предмети, матеріали, обладнання</t>
  </si>
  <si>
    <t>Кошти міського бюджету/ кошти ВМТГ</t>
  </si>
  <si>
    <t>2.1</t>
  </si>
  <si>
    <t>2.2</t>
  </si>
  <si>
    <t>2.2.1</t>
  </si>
  <si>
    <t>3.3</t>
  </si>
  <si>
    <t>реалізація програми"Комфортна зона відпочинку та прогулянки для пацієнтів "КНП "ВМКЛ №3"</t>
  </si>
  <si>
    <t>медикаменти та перевязувальні матеріали</t>
  </si>
  <si>
    <t>відшкодування пільгової пенсії</t>
  </si>
  <si>
    <t xml:space="preserve">Факт
 минулого 2020 року </t>
  </si>
  <si>
    <t xml:space="preserve">Фінансовий план 
поточного 2021 року </t>
  </si>
  <si>
    <t xml:space="preserve">Очікуваний показник до кінця поточного 2021 року </t>
  </si>
  <si>
    <t xml:space="preserve">Плановий 2022  
рік </t>
  </si>
  <si>
    <t>Факт минулого 2020 року</t>
  </si>
  <si>
    <t xml:space="preserve">Фінансовий план поточного 2021 року </t>
  </si>
  <si>
    <t xml:space="preserve">Плановий 2022 рік (усього) </t>
  </si>
  <si>
    <t>придбання хімреактивів, реагентів, кришталиків, тощо</t>
  </si>
  <si>
    <t>проведення поточного ремонту(заміна трубогону даху поліклініки)</t>
  </si>
  <si>
    <t>проектування, монтаж системи блискавкозахисту</t>
  </si>
  <si>
    <t>ремонт обладнання</t>
  </si>
  <si>
    <t>повірка , ремонт  обладнання</t>
  </si>
  <si>
    <t xml:space="preserve">Плановий рік 2022 (усього) 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</si>
  <si>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продукти харчування</t>
  </si>
  <si>
    <t>благодійні внески у натуральній формі</t>
  </si>
  <si>
    <t>8.</t>
  </si>
  <si>
    <t>Благодійні внески в натуральній формі</t>
  </si>
  <si>
    <t>Матеріальні витрати, усього, в т.ч.:</t>
  </si>
  <si>
    <t>забезпечення готовності закладів охорони здоров'я для надання медичної допомоги особам, які відповідають визначенню випадку 2019-n CoV</t>
  </si>
  <si>
    <t>Інші адміністративні витрати, уього, в т.ч.:</t>
  </si>
  <si>
    <t>інші послуги</t>
  </si>
  <si>
    <t>послуги по облаштуванню пандуса</t>
  </si>
  <si>
    <t>9.</t>
  </si>
  <si>
    <t>9.2.1</t>
  </si>
  <si>
    <t>9.2.5</t>
  </si>
  <si>
    <t>10.</t>
  </si>
  <si>
    <t>10.1</t>
  </si>
  <si>
    <t>11.</t>
  </si>
  <si>
    <t>1.2.3</t>
  </si>
  <si>
    <t>1.3.2</t>
  </si>
  <si>
    <t>2.1.1</t>
  </si>
  <si>
    <t>3.1.1</t>
  </si>
  <si>
    <t>3.1.2</t>
  </si>
  <si>
    <t>3.1.3</t>
  </si>
  <si>
    <t>3.2.1</t>
  </si>
  <si>
    <t>3.2.2</t>
  </si>
  <si>
    <t>3.2.3</t>
  </si>
  <si>
    <t>3.3.2</t>
  </si>
  <si>
    <t>4.1.1</t>
  </si>
  <si>
    <t xml:space="preserve">Кошти субвенцій з державного бюджету  </t>
  </si>
  <si>
    <t>6.1.1</t>
  </si>
  <si>
    <t>6.1.2</t>
  </si>
  <si>
    <t>6.1.3</t>
  </si>
  <si>
    <t>7.</t>
  </si>
  <si>
    <t>7.1.1</t>
  </si>
  <si>
    <t>7.1.2</t>
  </si>
  <si>
    <t>7.1.3</t>
  </si>
  <si>
    <t>7.2.1</t>
  </si>
  <si>
    <t>8.1</t>
  </si>
  <si>
    <t>8.1.1</t>
  </si>
  <si>
    <t>11.1</t>
  </si>
  <si>
    <t>11.1.1</t>
  </si>
  <si>
    <t>10.1.1</t>
  </si>
  <si>
    <t>6.</t>
  </si>
  <si>
    <t>медичні засоби</t>
  </si>
  <si>
    <t>Наталія ШУТКЕВИЧ</t>
  </si>
  <si>
    <t>Директор КНП "ВМКЛ №3"</t>
  </si>
  <si>
    <t>меблі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</si>
  <si>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ремонт (медичного обладнання)</t>
  </si>
  <si>
    <t>3.3.5</t>
  </si>
  <si>
    <r>
      <t>Інші операційні витрати (</t>
    </r>
    <r>
      <rPr>
        <b/>
        <sz val="14"/>
        <rFont val="Times New Roman"/>
        <family val="1"/>
        <charset val="204"/>
      </rPr>
      <t>відшкодування пільгових пенсій</t>
    </r>
    <r>
      <rPr>
        <b/>
        <i/>
        <sz val="14"/>
        <rFont val="Times New Roman"/>
        <family val="1"/>
        <charset val="204"/>
      </rPr>
      <t>)</t>
    </r>
  </si>
  <si>
    <t>передплата періодичних видань</t>
  </si>
  <si>
    <t>засоби для прання, прибирання</t>
  </si>
  <si>
    <t>господарський інвентар</t>
  </si>
  <si>
    <t>абезпечення готовності закладів охорони здоров'я для надання медичної допомоги особам, які відповідають визначенню випадку 2019-n CoV (ремонт медичного обладнання)</t>
  </si>
  <si>
    <t>повірка, ремонт медичного обладнання</t>
  </si>
  <si>
    <t xml:space="preserve">Додаток </t>
  </si>
  <si>
    <t>Олександр ШИШ</t>
  </si>
  <si>
    <t>Максим МАРТЬЯНОВ</t>
  </si>
  <si>
    <r>
      <t xml:space="preserve">                                                    </t>
    </r>
    <r>
      <rPr>
        <b/>
        <sz val="16"/>
        <rFont val="Times New Roman"/>
        <family val="1"/>
        <charset val="204"/>
      </rPr>
      <t>Наталія ЛУЦЕНКО</t>
    </r>
  </si>
  <si>
    <t>холодильник SNAIGE RF 34 SM-S10021 (1 шт.)</t>
  </si>
  <si>
    <t>насос волюметричний (інфузійний) ( 3шт.)</t>
  </si>
  <si>
    <t>каталка OSD-A105B (1 шт.)</t>
  </si>
  <si>
    <t>протипролежневий матрац (3 шт.)</t>
  </si>
  <si>
    <t>лічильник теплової енергії Sharky-775</t>
  </si>
  <si>
    <t>електрокардіограф ECG 600G (1 шт.)</t>
  </si>
  <si>
    <t>світильник операційний "Біомед" (1 шт.)</t>
  </si>
  <si>
    <t>посудомийна машина (1шт.)</t>
  </si>
  <si>
    <t>настінна панель (консоль) (3 шт.)</t>
  </si>
  <si>
    <t>шприцевий насос GSP-100B (3 шт.)</t>
  </si>
  <si>
    <t>ліжко функціональне 4-х секційне (6 шт.)</t>
  </si>
  <si>
    <t>інфузійна помпа (6 шт.)</t>
  </si>
  <si>
    <t>блочна рампа на 10 балонів</t>
  </si>
  <si>
    <t>апрат ШВЛ Neumovent (3 шт.)</t>
  </si>
  <si>
    <t>комплект обладнання для проведення досліджень методом ІФА</t>
  </si>
  <si>
    <t>система ультразвукова діагностична Vinno 5</t>
  </si>
  <si>
    <t>монітор пацієнта (2 шт.)</t>
  </si>
  <si>
    <t>ліжко лікарняне функціональне (15 шт.)</t>
  </si>
  <si>
    <t>монітор пацієнта ( 4шт.)</t>
  </si>
  <si>
    <t>ліжко КУ 213 S-32 HOSPITAL 2-х секційне (30 шт.)</t>
  </si>
  <si>
    <t>концентратор кисню (5 шт.)</t>
  </si>
  <si>
    <t>каталка "Біомед" (4 шт.)</t>
  </si>
  <si>
    <t>перусувна рентгенологічна  система СОМРАСТ</t>
  </si>
  <si>
    <t>дозатор кисню зі зволожувачем</t>
  </si>
  <si>
    <t>рентгенівський випромінювач</t>
  </si>
  <si>
    <t>капітальний ремонт правого крила 3-го поверху будівлі стаціонару КНП "ВМКЛ №3" м. Вінниці, вул Маяковського, 138</t>
  </si>
  <si>
    <t xml:space="preserve">капітальний ремонт покрівлі поліклініки КНП "ВМКЛ №3" м. Вінниці, вул Маяковського, 138 </t>
  </si>
  <si>
    <t>В.о. керуючого справами виконавчого комітету                                    міської ради</t>
  </si>
  <si>
    <t>Сергій ЧОРНОЛУЦЬКИЙ</t>
  </si>
  <si>
    <t>1.2.5</t>
  </si>
  <si>
    <t>1.3.3</t>
  </si>
  <si>
    <t>2.2.5</t>
  </si>
  <si>
    <t>Інші адміністративні витрати, в т.ч.:</t>
  </si>
  <si>
    <t>3.2.5</t>
  </si>
  <si>
    <t>3.3.3</t>
  </si>
  <si>
    <t>5.1.5</t>
  </si>
  <si>
    <t>6.1.5</t>
  </si>
  <si>
    <t>7.2.5</t>
  </si>
  <si>
    <t>9.1.1</t>
  </si>
  <si>
    <t>Матеріальні витрати, усього, в т.ч:</t>
  </si>
  <si>
    <t>Інші адміністративні витрати, усього, в т.ч.:</t>
  </si>
  <si>
    <t>Інші витрати, усього, в т.ч.:</t>
  </si>
  <si>
    <t>медикаменти та перев'язувальні маиеріали</t>
  </si>
  <si>
    <t>кошти державного бюджету від Національної служби здоров'я України</t>
  </si>
  <si>
    <t>кошти бюджету ВМОТГ/ кошти бюджету ВМТГ</t>
  </si>
  <si>
    <t>кошти медичної субвенції з державного бюджету</t>
  </si>
  <si>
    <t>Матеріальні витрати, усього, у т.ч.:</t>
  </si>
  <si>
    <t>забезпечення готовності закладів охорони здоров'я для надання медичної допомоги особам, які відповідають визначенню випадку 2019-n CoV (продукти харчування)</t>
  </si>
  <si>
    <t>витрати, пов'язані з використанням службових автомобілей</t>
  </si>
  <si>
    <t>розш 1 кошти мед субвенції?</t>
  </si>
  <si>
    <t>Кошти, отримані від надання платних послуг</t>
  </si>
  <si>
    <t xml:space="preserve"> кошти, отримані від надання платних послуг</t>
  </si>
  <si>
    <t>поточний ремонт та обслуговування комп'ютерної техніки</t>
  </si>
  <si>
    <t>див розш 2</t>
  </si>
  <si>
    <t>Цільове фінансування, усього, у тому числі:</t>
  </si>
  <si>
    <t>кошти, отримані від надання послуг (палати, стажування інтернів, відшкодування від страхової компанії) та реалізації майна</t>
  </si>
  <si>
    <t>придбання (виготовлення) основних засобів, усього, в т.ч.:</t>
  </si>
  <si>
    <t>концентратор кисню</t>
  </si>
  <si>
    <t>монітор пацієнта з капнографією</t>
  </si>
  <si>
    <t>система лікувального газопостачання</t>
  </si>
  <si>
    <t>інвазивна штучна вентиляція легень</t>
  </si>
  <si>
    <t>фартух двосторонній рентгенівський</t>
  </si>
  <si>
    <t>ширма пересувна рентгенозахисна</t>
  </si>
  <si>
    <t>автомобіль</t>
  </si>
  <si>
    <t>євроконтейнер</t>
  </si>
  <si>
    <t>лавка паркова</t>
  </si>
  <si>
    <t>сейф</t>
  </si>
  <si>
    <t>стінка</t>
  </si>
  <si>
    <t>капітальний ремонт, усього, в т.ч.:</t>
  </si>
  <si>
    <t>кошти, отримані від надання платних послуг</t>
  </si>
  <si>
    <t>кошти орендарів</t>
  </si>
  <si>
    <t>аліментів тут не повинно бути</t>
  </si>
  <si>
    <t>аліменти в інші витрати 3139</t>
  </si>
  <si>
    <t>подивитись залишки</t>
  </si>
  <si>
    <t>благодійно?</t>
  </si>
  <si>
    <t>Бюджетне фінансування (кошти бюджету ВМТГ)</t>
  </si>
  <si>
    <t>формат</t>
  </si>
  <si>
    <t>Департамент охорони здоров'я Вінницької міської ради</t>
  </si>
  <si>
    <t>Охорона здоров'я</t>
  </si>
  <si>
    <t>кошти. отримані від надання послуг (палати, стажування інтернів, відшкодування від страхової компанії)</t>
  </si>
  <si>
    <t xml:space="preserve">Кошти, отримані від надання послуг (палати, стажування інтернів, відшкодування від страхової компанії) </t>
  </si>
  <si>
    <t>інші податки, збори та платежі (профспілкові внески)</t>
  </si>
  <si>
    <t xml:space="preserve">інші платежі (профспілкові внески) </t>
  </si>
  <si>
    <t xml:space="preserve">кошти субвенцій з державного бюджету  </t>
  </si>
  <si>
    <t xml:space="preserve">              (підпис)</t>
  </si>
  <si>
    <t>ФІНАНСОВИЙ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№3"
на 2022 рік</t>
  </si>
  <si>
    <t>Директор департаменту економіки і інвестицій</t>
  </si>
  <si>
    <t>послуги по обслуговуванню платіжних доручень, обслуговування карток</t>
  </si>
  <si>
    <t>послуги повірки, метрологія</t>
  </si>
  <si>
    <t>2.1.2</t>
  </si>
  <si>
    <t>2.1.3</t>
  </si>
  <si>
    <t>паливно-мастильні матеріали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</si>
</sst>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_-* #,##0.0\ _₽_-;\-* #,##0.0\ _₽_-;_-* &quot;-&quot;?\ _₽_-;_-@_-"/>
    <numFmt numFmtId="182" formatCode="_-* #,##0.0\ _г_р_н_._-;\-* #,##0.0\ _г_р_н_._-;_-* &quot;-&quot;?\ _г_р_н_._-;_-@_-"/>
    <numFmt numFmtId="183" formatCode="0.0%"/>
  </numFmts>
  <fonts count="9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  <xf numFmtId="9" fontId="2" fillId="0" borderId="0" applyFont="0" applyFill="0" applyBorder="0" applyAlignment="0" applyProtection="0"/>
  </cellStyleXfs>
  <cellXfs count="325">
    <xf numFmtId="0" fontId="0" fillId="0" borderId="0" xfId="0"/>
    <xf numFmtId="0" fontId="5" fillId="29" borderId="0" xfId="0" applyFont="1" applyFill="1" applyAlignment="1">
      <alignment vertical="center"/>
    </xf>
    <xf numFmtId="0" fontId="4" fillId="29" borderId="0" xfId="0" applyFont="1" applyFill="1" applyAlignment="1">
      <alignment horizontal="center" vertical="center" wrapText="1"/>
    </xf>
    <xf numFmtId="0" fontId="5" fillId="29" borderId="0" xfId="0" applyFont="1" applyFill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 shrinkToFit="1"/>
    </xf>
    <xf numFmtId="0" fontId="5" fillId="29" borderId="3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179" fontId="66" fillId="29" borderId="3" xfId="0" applyNumberFormat="1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left" vertical="center"/>
    </xf>
    <xf numFmtId="0" fontId="78" fillId="29" borderId="17" xfId="0" applyFont="1" applyFill="1" applyBorder="1" applyAlignment="1">
      <alignment horizontal="left" vertical="center"/>
    </xf>
    <xf numFmtId="0" fontId="74" fillId="29" borderId="17" xfId="0" applyFont="1" applyFill="1" applyBorder="1" applyAlignment="1">
      <alignment vertical="center" wrapText="1"/>
    </xf>
    <xf numFmtId="0" fontId="66" fillId="29" borderId="17" xfId="0" applyFont="1" applyFill="1" applyBorder="1" applyAlignment="1">
      <alignment vertical="center" wrapText="1"/>
    </xf>
    <xf numFmtId="0" fontId="5" fillId="29" borderId="3" xfId="0" applyFont="1" applyFill="1" applyBorder="1" applyAlignment="1">
      <alignment horizontal="left" vertical="center"/>
    </xf>
    <xf numFmtId="179" fontId="66" fillId="29" borderId="3" xfId="0" applyNumberFormat="1" applyFont="1" applyFill="1" applyBorder="1" applyAlignment="1">
      <alignment horizontal="center" vertical="center"/>
    </xf>
    <xf numFmtId="179" fontId="70" fillId="29" borderId="3" xfId="0" applyNumberFormat="1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/>
    </xf>
    <xf numFmtId="0" fontId="70" fillId="29" borderId="0" xfId="0" applyFont="1" applyFill="1" applyAlignment="1">
      <alignment horizontal="left" vertical="center"/>
    </xf>
    <xf numFmtId="0" fontId="70" fillId="29" borderId="16" xfId="0" applyFont="1" applyFill="1" applyBorder="1" applyAlignment="1">
      <alignment horizontal="left" vertical="center"/>
    </xf>
    <xf numFmtId="179" fontId="4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/>
    </xf>
    <xf numFmtId="0" fontId="79" fillId="29" borderId="3" xfId="0" quotePrefix="1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left" vertical="top" wrapText="1"/>
    </xf>
    <xf numFmtId="179" fontId="66" fillId="29" borderId="18" xfId="0" applyNumberFormat="1" applyFont="1" applyFill="1" applyBorder="1" applyAlignment="1">
      <alignment horizontal="center" vertical="center" wrapText="1"/>
    </xf>
    <xf numFmtId="179" fontId="5" fillId="29" borderId="18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vertical="center"/>
    </xf>
    <xf numFmtId="170" fontId="5" fillId="29" borderId="3" xfId="0" applyNumberFormat="1" applyFont="1" applyFill="1" applyBorder="1" applyAlignment="1">
      <alignment horizontal="right" vertical="center" wrapText="1"/>
    </xf>
    <xf numFmtId="170" fontId="5" fillId="29" borderId="3" xfId="0" applyNumberFormat="1" applyFont="1" applyFill="1" applyBorder="1" applyAlignment="1">
      <alignment horizontal="center" vertical="center" wrapText="1"/>
    </xf>
    <xf numFmtId="0" fontId="80" fillId="29" borderId="3" xfId="0" quotePrefix="1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left" vertical="center" wrapText="1"/>
    </xf>
    <xf numFmtId="170" fontId="68" fillId="29" borderId="0" xfId="0" applyNumberFormat="1" applyFont="1" applyFill="1" applyAlignment="1">
      <alignment vertical="center"/>
    </xf>
    <xf numFmtId="0" fontId="5" fillId="29" borderId="0" xfId="0" applyFont="1" applyFill="1" applyAlignment="1">
      <alignment horizontal="left" vertical="center" wrapText="1"/>
    </xf>
    <xf numFmtId="0" fontId="5" fillId="29" borderId="0" xfId="0" applyFont="1" applyFill="1" applyAlignment="1">
      <alignment horizontal="center" vertical="center"/>
    </xf>
    <xf numFmtId="170" fontId="5" fillId="29" borderId="0" xfId="0" applyNumberFormat="1" applyFont="1" applyFill="1" applyAlignment="1">
      <alignment horizontal="center" vertical="center" wrapText="1"/>
    </xf>
    <xf numFmtId="170" fontId="5" fillId="29" borderId="0" xfId="0" applyNumberFormat="1" applyFont="1" applyFill="1" applyAlignment="1">
      <alignment horizontal="right" vertical="center" wrapText="1"/>
    </xf>
    <xf numFmtId="0" fontId="5" fillId="29" borderId="0" xfId="0" applyFont="1" applyFill="1" applyAlignment="1">
      <alignment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75" fillId="29" borderId="3" xfId="0" applyFont="1" applyFill="1" applyBorder="1" applyAlignment="1">
      <alignment vertical="center" wrapText="1"/>
    </xf>
    <xf numFmtId="0" fontId="80" fillId="29" borderId="3" xfId="0" applyFont="1" applyFill="1" applyBorder="1" applyAlignment="1">
      <alignment horizontal="left" vertical="center"/>
    </xf>
    <xf numFmtId="0" fontId="80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vertical="center" wrapText="1"/>
    </xf>
    <xf numFmtId="0" fontId="80" fillId="29" borderId="3" xfId="0" applyFont="1" applyFill="1" applyBorder="1" applyAlignment="1">
      <alignment vertical="center" wrapText="1"/>
    </xf>
    <xf numFmtId="0" fontId="80" fillId="29" borderId="3" xfId="0" applyFont="1" applyFill="1" applyBorder="1" applyAlignment="1">
      <alignment horizontal="center" vertical="center"/>
    </xf>
    <xf numFmtId="49" fontId="78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left" vertical="center" wrapText="1"/>
    </xf>
    <xf numFmtId="49" fontId="80" fillId="29" borderId="3" xfId="0" applyNumberFormat="1" applyFont="1" applyFill="1" applyBorder="1" applyAlignment="1">
      <alignment horizontal="center" vertical="center"/>
    </xf>
    <xf numFmtId="179" fontId="7" fillId="29" borderId="3" xfId="0" applyNumberFormat="1" applyFont="1" applyFill="1" applyBorder="1" applyAlignment="1">
      <alignment horizontal="center" vertical="center" wrapText="1"/>
    </xf>
    <xf numFmtId="49" fontId="79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/>
    </xf>
    <xf numFmtId="179" fontId="75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horizontal="center" vertical="center"/>
    </xf>
    <xf numFmtId="49" fontId="81" fillId="29" borderId="3" xfId="0" applyNumberFormat="1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left" vertical="center"/>
    </xf>
    <xf numFmtId="0" fontId="5" fillId="29" borderId="20" xfId="0" applyFont="1" applyFill="1" applyBorder="1" applyAlignment="1">
      <alignment vertical="top" wrapText="1"/>
    </xf>
    <xf numFmtId="182" fontId="5" fillId="29" borderId="0" xfId="0" applyNumberFormat="1" applyFont="1" applyFill="1" applyAlignment="1">
      <alignment horizontal="right" vertical="center" wrapText="1"/>
    </xf>
    <xf numFmtId="0" fontId="5" fillId="29" borderId="0" xfId="0" quotePrefix="1" applyFont="1" applyFill="1" applyAlignment="1">
      <alignment horizontal="center" vertical="center"/>
    </xf>
    <xf numFmtId="170" fontId="5" fillId="29" borderId="0" xfId="0" quotePrefix="1" applyNumberFormat="1" applyFont="1" applyFill="1" applyAlignment="1">
      <alignment vertical="center" wrapText="1"/>
    </xf>
    <xf numFmtId="3" fontId="5" fillId="29" borderId="0" xfId="0" applyNumberFormat="1" applyFont="1" applyFill="1" applyAlignment="1">
      <alignment horizontal="center" vertical="center" wrapText="1"/>
    </xf>
    <xf numFmtId="169" fontId="5" fillId="29" borderId="0" xfId="0" applyNumberFormat="1" applyFont="1" applyFill="1" applyAlignment="1">
      <alignment vertical="center"/>
    </xf>
    <xf numFmtId="179" fontId="8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vertical="center" wrapText="1"/>
    </xf>
    <xf numFmtId="0" fontId="80" fillId="29" borderId="19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top" wrapText="1"/>
    </xf>
    <xf numFmtId="0" fontId="5" fillId="29" borderId="3" xfId="0" applyFont="1" applyFill="1" applyBorder="1" applyAlignment="1">
      <alignment vertical="top" wrapText="1"/>
    </xf>
    <xf numFmtId="0" fontId="74" fillId="29" borderId="3" xfId="0" applyFont="1" applyFill="1" applyBorder="1" applyAlignment="1">
      <alignment horizontal="left" vertical="center"/>
    </xf>
    <xf numFmtId="0" fontId="5" fillId="29" borderId="17" xfId="0" applyFont="1" applyFill="1" applyBorder="1" applyAlignment="1">
      <alignment horizontal="left" vertical="center" wrapText="1"/>
    </xf>
    <xf numFmtId="0" fontId="75" fillId="29" borderId="3" xfId="0" applyFont="1" applyFill="1" applyBorder="1" applyAlignment="1">
      <alignment horizontal="left" vertical="center"/>
    </xf>
    <xf numFmtId="49" fontId="74" fillId="29" borderId="3" xfId="0" applyNumberFormat="1" applyFont="1" applyFill="1" applyBorder="1" applyAlignment="1">
      <alignment horizontal="center" vertical="center"/>
    </xf>
    <xf numFmtId="0" fontId="70" fillId="29" borderId="0" xfId="0" applyFont="1" applyFill="1" applyAlignment="1">
      <alignment vertical="center"/>
    </xf>
    <xf numFmtId="0" fontId="70" fillId="29" borderId="3" xfId="0" applyFont="1" applyFill="1" applyBorder="1" applyAlignment="1">
      <alignment vertical="center" wrapText="1"/>
    </xf>
    <xf numFmtId="49" fontId="86" fillId="29" borderId="3" xfId="0" applyNumberFormat="1" applyFont="1" applyFill="1" applyBorder="1" applyAlignment="1">
      <alignment horizontal="center" vertical="center"/>
    </xf>
    <xf numFmtId="0" fontId="81" fillId="29" borderId="18" xfId="0" applyFont="1" applyFill="1" applyBorder="1" applyAlignment="1">
      <alignment horizontal="left" vertical="center" wrapText="1"/>
    </xf>
    <xf numFmtId="49" fontId="7" fillId="29" borderId="3" xfId="0" applyNumberFormat="1" applyFont="1" applyFill="1" applyBorder="1" applyAlignment="1">
      <alignment horizontal="center" vertical="center"/>
    </xf>
    <xf numFmtId="0" fontId="7" fillId="29" borderId="3" xfId="0" applyFont="1" applyFill="1" applyBorder="1" applyAlignment="1">
      <alignment horizontal="left" vertical="center" wrapText="1"/>
    </xf>
    <xf numFmtId="0" fontId="7" fillId="29" borderId="3" xfId="0" applyFont="1" applyFill="1" applyBorder="1" applyAlignment="1">
      <alignment horizontal="center" vertical="center" wrapText="1"/>
    </xf>
    <xf numFmtId="0" fontId="7" fillId="29" borderId="3" xfId="0" applyFont="1" applyFill="1" applyBorder="1" applyAlignment="1">
      <alignment vertical="center" wrapText="1"/>
    </xf>
    <xf numFmtId="179" fontId="7" fillId="29" borderId="3" xfId="0" applyNumberFormat="1" applyFont="1" applyFill="1" applyBorder="1" applyAlignment="1">
      <alignment horizontal="center" vertical="center"/>
    </xf>
    <xf numFmtId="179" fontId="4" fillId="29" borderId="3" xfId="0" applyNumberFormat="1" applyFont="1" applyFill="1" applyBorder="1" applyAlignment="1">
      <alignment horizontal="center" vertical="center"/>
    </xf>
    <xf numFmtId="0" fontId="82" fillId="29" borderId="3" xfId="0" applyFont="1" applyFill="1" applyBorder="1" applyAlignment="1">
      <alignment horizontal="center" vertical="center" wrapText="1"/>
    </xf>
    <xf numFmtId="180" fontId="70" fillId="29" borderId="3" xfId="0" applyNumberFormat="1" applyFont="1" applyFill="1" applyBorder="1" applyAlignment="1">
      <alignment horizontal="center" vertical="center" wrapText="1"/>
    </xf>
    <xf numFmtId="3" fontId="5" fillId="29" borderId="0" xfId="0" applyNumberFormat="1" applyFont="1" applyFill="1" applyAlignment="1">
      <alignment horizontal="right" vertical="center" wrapText="1"/>
    </xf>
    <xf numFmtId="0" fontId="73" fillId="29" borderId="0" xfId="0" applyFont="1" applyFill="1" applyAlignment="1">
      <alignment horizontal="center" wrapText="1"/>
    </xf>
    <xf numFmtId="0" fontId="80" fillId="29" borderId="15" xfId="0" applyFont="1" applyFill="1" applyBorder="1" applyAlignment="1">
      <alignment vertical="center" wrapText="1"/>
    </xf>
    <xf numFmtId="0" fontId="5" fillId="29" borderId="15" xfId="0" applyFont="1" applyFill="1" applyBorder="1" applyAlignment="1">
      <alignment vertical="center" wrapText="1"/>
    </xf>
    <xf numFmtId="0" fontId="5" fillId="29" borderId="15" xfId="0" applyFont="1" applyFill="1" applyBorder="1" applyAlignment="1">
      <alignment vertical="top" wrapText="1"/>
    </xf>
    <xf numFmtId="0" fontId="75" fillId="29" borderId="15" xfId="0" applyFont="1" applyFill="1" applyBorder="1" applyAlignment="1">
      <alignment vertical="center"/>
    </xf>
    <xf numFmtId="0" fontId="80" fillId="29" borderId="15" xfId="0" applyFont="1" applyFill="1" applyBorder="1" applyAlignment="1">
      <alignment vertical="center"/>
    </xf>
    <xf numFmtId="0" fontId="4" fillId="29" borderId="3" xfId="0" applyFont="1" applyFill="1" applyBorder="1" applyAlignment="1">
      <alignment horizontal="left" vertical="center" wrapText="1"/>
    </xf>
    <xf numFmtId="179" fontId="6" fillId="29" borderId="3" xfId="0" applyNumberFormat="1" applyFont="1" applyFill="1" applyBorder="1" applyAlignment="1">
      <alignment vertical="center"/>
    </xf>
    <xf numFmtId="0" fontId="7" fillId="29" borderId="3" xfId="0" quotePrefix="1" applyFont="1" applyFill="1" applyBorder="1" applyAlignment="1">
      <alignment horizontal="center" vertical="center"/>
    </xf>
    <xf numFmtId="179" fontId="7" fillId="29" borderId="3" xfId="0" applyNumberFormat="1" applyFont="1" applyFill="1" applyBorder="1" applyAlignment="1">
      <alignment vertical="center"/>
    </xf>
    <xf numFmtId="0" fontId="5" fillId="29" borderId="3" xfId="0" quotePrefix="1" applyFont="1" applyFill="1" applyBorder="1" applyAlignment="1">
      <alignment horizontal="center" vertical="center"/>
    </xf>
    <xf numFmtId="0" fontId="4" fillId="29" borderId="3" xfId="0" quotePrefix="1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center" vertical="center" wrapText="1"/>
    </xf>
    <xf numFmtId="169" fontId="6" fillId="29" borderId="3" xfId="0" applyNumberFormat="1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vertical="center"/>
    </xf>
    <xf numFmtId="0" fontId="4" fillId="29" borderId="0" xfId="0" quotePrefix="1" applyFont="1" applyFill="1" applyAlignment="1">
      <alignment horizontal="center" vertical="center"/>
    </xf>
    <xf numFmtId="179" fontId="5" fillId="29" borderId="0" xfId="0" applyNumberFormat="1" applyFont="1" applyFill="1" applyAlignment="1">
      <alignment horizontal="center" vertical="center" wrapText="1"/>
    </xf>
    <xf numFmtId="179" fontId="4" fillId="29" borderId="0" xfId="0" applyNumberFormat="1" applyFont="1" applyFill="1" applyAlignment="1">
      <alignment vertical="center"/>
    </xf>
    <xf numFmtId="0" fontId="4" fillId="29" borderId="3" xfId="0" applyFont="1" applyFill="1" applyBorder="1" applyAlignment="1">
      <alignment horizontal="center" vertical="center" wrapText="1"/>
    </xf>
    <xf numFmtId="0" fontId="7" fillId="29" borderId="3" xfId="0" applyFont="1" applyFill="1" applyBorder="1" applyAlignment="1">
      <alignment horizontal="left" vertical="center"/>
    </xf>
    <xf numFmtId="0" fontId="75" fillId="29" borderId="3" xfId="0" applyFont="1" applyFill="1" applyBorder="1" applyAlignment="1">
      <alignment horizontal="left" vertical="center" wrapText="1"/>
    </xf>
    <xf numFmtId="0" fontId="5" fillId="29" borderId="15" xfId="0" applyFont="1" applyFill="1" applyBorder="1" applyAlignment="1">
      <alignment horizontal="left" vertical="center" wrapText="1"/>
    </xf>
    <xf numFmtId="0" fontId="70" fillId="29" borderId="0" xfId="0" applyFont="1" applyFill="1" applyAlignment="1">
      <alignment horizontal="center" vertical="center"/>
    </xf>
    <xf numFmtId="0" fontId="66" fillId="29" borderId="0" xfId="0" applyFont="1" applyFill="1" applyAlignment="1">
      <alignment vertical="center"/>
    </xf>
    <xf numFmtId="49" fontId="87" fillId="29" borderId="3" xfId="0" applyNumberFormat="1" applyFont="1" applyFill="1" applyBorder="1" applyAlignment="1">
      <alignment horizontal="center" vertical="center"/>
    </xf>
    <xf numFmtId="49" fontId="85" fillId="29" borderId="3" xfId="0" applyNumberFormat="1" applyFont="1" applyFill="1" applyBorder="1" applyAlignment="1">
      <alignment horizontal="center" vertical="center"/>
    </xf>
    <xf numFmtId="0" fontId="87" fillId="29" borderId="3" xfId="0" applyFont="1" applyFill="1" applyBorder="1" applyAlignment="1">
      <alignment horizontal="left" vertical="center"/>
    </xf>
    <xf numFmtId="0" fontId="85" fillId="29" borderId="3" xfId="0" applyFont="1" applyFill="1" applyBorder="1" applyAlignment="1">
      <alignment horizontal="left" vertical="center" wrapText="1"/>
    </xf>
    <xf numFmtId="0" fontId="5" fillId="29" borderId="15" xfId="0" applyFont="1" applyFill="1" applyBorder="1" applyAlignment="1">
      <alignment horizontal="center" vertical="center"/>
    </xf>
    <xf numFmtId="179" fontId="4" fillId="29" borderId="3" xfId="0" applyNumberFormat="1" applyFont="1" applyFill="1" applyBorder="1" applyAlignment="1">
      <alignment horizontal="right" vertical="center" wrapText="1"/>
    </xf>
    <xf numFmtId="179" fontId="5" fillId="29" borderId="3" xfId="0" applyNumberFormat="1" applyFont="1" applyFill="1" applyBorder="1" applyAlignment="1">
      <alignment horizontal="right" vertical="center" wrapText="1"/>
    </xf>
    <xf numFmtId="180" fontId="66" fillId="29" borderId="3" xfId="0" applyNumberFormat="1" applyFont="1" applyFill="1" applyBorder="1" applyAlignment="1">
      <alignment horizontal="center" vertical="center" wrapText="1"/>
    </xf>
    <xf numFmtId="178" fontId="70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horizontal="left" vertical="center"/>
    </xf>
    <xf numFmtId="170" fontId="5" fillId="29" borderId="0" xfId="0" applyNumberFormat="1" applyFont="1" applyFill="1" applyAlignment="1">
      <alignment horizontal="left" vertical="center" wrapText="1"/>
    </xf>
    <xf numFmtId="180" fontId="89" fillId="29" borderId="0" xfId="0" applyNumberFormat="1" applyFont="1" applyFill="1" applyAlignment="1">
      <alignment vertical="center"/>
    </xf>
    <xf numFmtId="0" fontId="89" fillId="29" borderId="0" xfId="0" applyFont="1" applyFill="1" applyAlignment="1">
      <alignment vertical="center"/>
    </xf>
    <xf numFmtId="169" fontId="89" fillId="29" borderId="0" xfId="0" applyNumberFormat="1" applyFont="1" applyFill="1" applyAlignment="1">
      <alignment vertical="center"/>
    </xf>
    <xf numFmtId="0" fontId="66" fillId="29" borderId="0" xfId="0" applyFont="1" applyFill="1" applyAlignment="1">
      <alignment horizontal="right" vertical="center"/>
    </xf>
    <xf numFmtId="0" fontId="66" fillId="29" borderId="14" xfId="0" applyFont="1" applyFill="1" applyBorder="1" applyAlignment="1">
      <alignment vertical="center"/>
    </xf>
    <xf numFmtId="0" fontId="66" fillId="29" borderId="14" xfId="0" applyFont="1" applyFill="1" applyBorder="1" applyAlignment="1">
      <alignment horizontal="center" vertical="center"/>
    </xf>
    <xf numFmtId="170" fontId="66" fillId="29" borderId="3" xfId="234" applyNumberFormat="1" applyFont="1" applyFill="1" applyBorder="1" applyAlignment="1">
      <alignment horizontal="center" vertical="center" wrapText="1"/>
    </xf>
    <xf numFmtId="179" fontId="66" fillId="29" borderId="0" xfId="0" applyNumberFormat="1" applyFont="1" applyFill="1" applyAlignment="1">
      <alignment vertical="center"/>
    </xf>
    <xf numFmtId="2" fontId="66" fillId="29" borderId="3" xfId="0" applyNumberFormat="1" applyFont="1" applyFill="1" applyBorder="1" applyAlignment="1">
      <alignment horizontal="center" vertical="center" wrapText="1"/>
    </xf>
    <xf numFmtId="169" fontId="82" fillId="29" borderId="3" xfId="0" applyNumberFormat="1" applyFont="1" applyFill="1" applyBorder="1" applyAlignment="1">
      <alignment horizontal="center" vertical="center" wrapText="1"/>
    </xf>
    <xf numFmtId="0" fontId="66" fillId="29" borderId="0" xfId="0" applyFont="1" applyFill="1" applyAlignment="1">
      <alignment horizontal="center" vertical="center" wrapText="1"/>
    </xf>
    <xf numFmtId="169" fontId="66" fillId="29" borderId="0" xfId="0" applyNumberFormat="1" applyFont="1" applyFill="1" applyAlignment="1">
      <alignment horizontal="center" vertical="center" wrapText="1"/>
    </xf>
    <xf numFmtId="0" fontId="66" fillId="29" borderId="0" xfId="0" applyFont="1" applyFill="1"/>
    <xf numFmtId="0" fontId="66" fillId="29" borderId="0" xfId="0" applyFont="1" applyFill="1" applyAlignment="1">
      <alignment horizontal="center"/>
    </xf>
    <xf numFmtId="0" fontId="68" fillId="29" borderId="0" xfId="0" applyFont="1" applyFill="1" applyAlignment="1">
      <alignment horizontal="center" vertical="center"/>
    </xf>
    <xf numFmtId="0" fontId="70" fillId="29" borderId="0" xfId="0" applyFont="1" applyFill="1" applyAlignment="1">
      <alignment vertical="center" wrapText="1" shrinkToFit="1"/>
    </xf>
    <xf numFmtId="0" fontId="65" fillId="29" borderId="0" xfId="0" applyFont="1" applyFill="1" applyAlignment="1">
      <alignment horizontal="center" vertical="center"/>
    </xf>
    <xf numFmtId="0" fontId="66" fillId="29" borderId="0" xfId="0" applyFont="1" applyFill="1" applyAlignment="1">
      <alignment vertical="center" wrapText="1" shrinkToFit="1"/>
    </xf>
    <xf numFmtId="0" fontId="65" fillId="29" borderId="0" xfId="0" applyFont="1" applyFill="1" applyAlignment="1">
      <alignment vertical="center"/>
    </xf>
    <xf numFmtId="179" fontId="5" fillId="29" borderId="0" xfId="0" applyNumberFormat="1" applyFont="1" applyFill="1" applyAlignment="1">
      <alignment vertical="center"/>
    </xf>
    <xf numFmtId="0" fontId="4" fillId="29" borderId="0" xfId="0" applyFont="1" applyFill="1" applyAlignment="1">
      <alignment vertical="center"/>
    </xf>
    <xf numFmtId="0" fontId="6" fillId="29" borderId="3" xfId="0" quotePrefix="1" applyFont="1" applyFill="1" applyBorder="1" applyAlignment="1">
      <alignment horizontal="center" vertical="center"/>
    </xf>
    <xf numFmtId="0" fontId="80" fillId="29" borderId="22" xfId="0" applyFont="1" applyFill="1" applyBorder="1" applyAlignment="1">
      <alignment horizontal="left" vertical="center" wrapText="1"/>
    </xf>
    <xf numFmtId="181" fontId="5" fillId="29" borderId="0" xfId="0" applyNumberFormat="1" applyFont="1" applyFill="1" applyAlignment="1">
      <alignment vertical="center"/>
    </xf>
    <xf numFmtId="0" fontId="77" fillId="29" borderId="0" xfId="0" applyFont="1" applyFill="1" applyAlignment="1">
      <alignment vertical="center"/>
    </xf>
    <xf numFmtId="0" fontId="80" fillId="29" borderId="17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right" vertical="center"/>
    </xf>
    <xf numFmtId="180" fontId="5" fillId="29" borderId="0" xfId="0" applyNumberFormat="1" applyFont="1" applyFill="1" applyAlignment="1">
      <alignment vertical="center"/>
    </xf>
    <xf numFmtId="0" fontId="83" fillId="29" borderId="3" xfId="0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vertical="center" wrapText="1"/>
    </xf>
    <xf numFmtId="169" fontId="4" fillId="29" borderId="0" xfId="0" applyNumberFormat="1" applyFont="1" applyFill="1" applyAlignment="1">
      <alignment vertical="center"/>
    </xf>
    <xf numFmtId="0" fontId="4" fillId="29" borderId="0" xfId="0" applyFont="1" applyFill="1" applyAlignment="1">
      <alignment horizontal="right" vertical="center"/>
    </xf>
    <xf numFmtId="0" fontId="4" fillId="29" borderId="0" xfId="0" applyFont="1" applyFill="1" applyAlignment="1">
      <alignment horizontal="right" vertical="center" wrapText="1"/>
    </xf>
    <xf numFmtId="0" fontId="5" fillId="29" borderId="0" xfId="0" applyFont="1" applyFill="1" applyAlignment="1">
      <alignment horizontal="right" vertical="center" wrapText="1"/>
    </xf>
    <xf numFmtId="0" fontId="83" fillId="29" borderId="3" xfId="0" applyFont="1" applyFill="1" applyBorder="1" applyAlignment="1">
      <alignment horizontal="center" vertical="center"/>
    </xf>
    <xf numFmtId="49" fontId="83" fillId="29" borderId="3" xfId="0" applyNumberFormat="1" applyFont="1" applyFill="1" applyBorder="1" applyAlignment="1">
      <alignment horizontal="center" vertical="center"/>
    </xf>
    <xf numFmtId="0" fontId="83" fillId="29" borderId="3" xfId="0" applyFont="1" applyFill="1" applyBorder="1" applyAlignment="1">
      <alignment horizontal="left" vertical="center"/>
    </xf>
    <xf numFmtId="0" fontId="82" fillId="29" borderId="3" xfId="0" applyFont="1" applyFill="1" applyBorder="1" applyAlignment="1">
      <alignment horizontal="center" vertical="center"/>
    </xf>
    <xf numFmtId="0" fontId="83" fillId="29" borderId="3" xfId="0" applyFont="1" applyFill="1" applyBorder="1" applyAlignment="1">
      <alignment horizontal="left" vertical="center" wrapText="1"/>
    </xf>
    <xf numFmtId="0" fontId="86" fillId="29" borderId="3" xfId="0" applyFont="1" applyFill="1" applyBorder="1" applyAlignment="1">
      <alignment horizontal="left" vertical="center"/>
    </xf>
    <xf numFmtId="170" fontId="4" fillId="29" borderId="0" xfId="0" applyNumberFormat="1" applyFont="1" applyFill="1" applyAlignment="1">
      <alignment vertical="center"/>
    </xf>
    <xf numFmtId="0" fontId="4" fillId="29" borderId="3" xfId="0" applyFont="1" applyFill="1" applyBorder="1" applyAlignment="1">
      <alignment vertical="center"/>
    </xf>
    <xf numFmtId="180" fontId="88" fillId="29" borderId="0" xfId="0" applyNumberFormat="1" applyFont="1" applyFill="1" applyAlignment="1">
      <alignment vertical="center"/>
    </xf>
    <xf numFmtId="170" fontId="5" fillId="29" borderId="3" xfId="0" applyNumberFormat="1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right" vertical="center"/>
    </xf>
    <xf numFmtId="0" fontId="66" fillId="29" borderId="0" xfId="0" applyFont="1" applyFill="1" applyAlignment="1">
      <alignment vertical="center" wrapText="1"/>
    </xf>
    <xf numFmtId="0" fontId="68" fillId="29" borderId="0" xfId="0" applyFont="1" applyFill="1" applyAlignment="1">
      <alignment vertical="center"/>
    </xf>
    <xf numFmtId="0" fontId="69" fillId="29" borderId="0" xfId="0" applyFont="1" applyFill="1" applyAlignment="1">
      <alignment horizontal="left" vertical="center"/>
    </xf>
    <xf numFmtId="0" fontId="66" fillId="29" borderId="13" xfId="0" quotePrefix="1" applyFont="1" applyFill="1" applyBorder="1" applyAlignment="1">
      <alignment horizontal="left" vertical="center"/>
    </xf>
    <xf numFmtId="0" fontId="69" fillId="29" borderId="0" xfId="0" applyFont="1" applyFill="1" applyAlignment="1">
      <alignment horizontal="center" vertical="center"/>
    </xf>
    <xf numFmtId="0" fontId="69" fillId="29" borderId="0" xfId="0" applyFont="1" applyFill="1" applyAlignment="1">
      <alignment vertical="center"/>
    </xf>
    <xf numFmtId="0" fontId="66" fillId="29" borderId="0" xfId="0" applyFont="1" applyFill="1" applyAlignment="1">
      <alignment horizontal="right" vertical="center" wrapText="1"/>
    </xf>
    <xf numFmtId="0" fontId="66" fillId="29" borderId="15" xfId="0" applyFont="1" applyFill="1" applyBorder="1" applyAlignment="1">
      <alignment vertical="center"/>
    </xf>
    <xf numFmtId="0" fontId="66" fillId="29" borderId="16" xfId="0" applyFont="1" applyFill="1" applyBorder="1" applyAlignment="1">
      <alignment vertical="center"/>
    </xf>
    <xf numFmtId="0" fontId="66" fillId="29" borderId="17" xfId="0" applyFont="1" applyFill="1" applyBorder="1" applyAlignment="1">
      <alignment vertical="center"/>
    </xf>
    <xf numFmtId="0" fontId="66" fillId="29" borderId="3" xfId="0" applyFont="1" applyFill="1" applyBorder="1" applyAlignment="1">
      <alignment horizontal="left" vertical="center"/>
    </xf>
    <xf numFmtId="0" fontId="66" fillId="29" borderId="16" xfId="0" applyFont="1" applyFill="1" applyBorder="1" applyAlignment="1">
      <alignment vertical="center" wrapText="1"/>
    </xf>
    <xf numFmtId="49" fontId="66" fillId="29" borderId="17" xfId="0" applyNumberFormat="1" applyFont="1" applyFill="1" applyBorder="1" applyAlignment="1">
      <alignment horizontal="right" vertical="center" wrapText="1"/>
    </xf>
    <xf numFmtId="0" fontId="66" fillId="29" borderId="3" xfId="0" applyFont="1" applyFill="1" applyBorder="1" applyAlignment="1">
      <alignment vertical="center"/>
    </xf>
    <xf numFmtId="0" fontId="70" fillId="29" borderId="3" xfId="180" applyFont="1" applyFill="1" applyBorder="1" applyAlignment="1">
      <alignment vertical="center" wrapText="1"/>
      <protection locked="0"/>
    </xf>
    <xf numFmtId="0" fontId="70" fillId="29" borderId="3" xfId="0" applyFont="1" applyFill="1" applyBorder="1" applyAlignment="1">
      <alignment horizontal="center" vertical="center"/>
    </xf>
    <xf numFmtId="0" fontId="66" fillId="29" borderId="3" xfId="180" applyFont="1" applyFill="1" applyBorder="1" applyAlignment="1">
      <alignment vertical="center" wrapText="1"/>
      <protection locked="0"/>
    </xf>
    <xf numFmtId="179" fontId="83" fillId="29" borderId="3" xfId="0" applyNumberFormat="1" applyFont="1" applyFill="1" applyBorder="1" applyAlignment="1">
      <alignment horizontal="center" vertical="center" wrapText="1"/>
    </xf>
    <xf numFmtId="179" fontId="82" fillId="29" borderId="3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left" vertical="center" wrapText="1"/>
    </xf>
    <xf numFmtId="0" fontId="70" fillId="29" borderId="3" xfId="243" applyFont="1" applyFill="1" applyBorder="1" applyAlignment="1">
      <alignment horizontal="left" vertical="center" wrapText="1"/>
    </xf>
    <xf numFmtId="173" fontId="66" fillId="29" borderId="3" xfId="0" applyNumberFormat="1" applyFont="1" applyFill="1" applyBorder="1" applyAlignment="1">
      <alignment horizontal="center" vertical="center" wrapText="1"/>
    </xf>
    <xf numFmtId="0" fontId="66" fillId="29" borderId="3" xfId="243" applyFont="1" applyFill="1" applyBorder="1" applyAlignment="1">
      <alignment horizontal="left" vertical="center" wrapText="1"/>
    </xf>
    <xf numFmtId="179" fontId="90" fillId="29" borderId="0" xfId="0" applyNumberFormat="1" applyFont="1" applyFill="1" applyAlignment="1">
      <alignment vertical="center"/>
    </xf>
    <xf numFmtId="0" fontId="70" fillId="29" borderId="3" xfId="0" applyFont="1" applyFill="1" applyBorder="1" applyAlignment="1" applyProtection="1">
      <alignment horizontal="left" vertical="center" wrapText="1"/>
      <protection locked="0"/>
    </xf>
    <xf numFmtId="177" fontId="66" fillId="29" borderId="3" xfId="0" applyNumberFormat="1" applyFont="1" applyFill="1" applyBorder="1" applyAlignment="1">
      <alignment horizontal="center" vertical="center" wrapText="1"/>
    </xf>
    <xf numFmtId="0" fontId="90" fillId="29" borderId="0" xfId="0" applyFont="1" applyFill="1" applyAlignment="1">
      <alignment vertical="center"/>
    </xf>
    <xf numFmtId="0" fontId="70" fillId="29" borderId="3" xfId="0" applyFont="1" applyFill="1" applyBorder="1" applyAlignment="1" applyProtection="1">
      <alignment horizontal="center" vertical="center" wrapText="1"/>
      <protection locked="0"/>
    </xf>
    <xf numFmtId="177" fontId="70" fillId="29" borderId="3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 wrapText="1"/>
    </xf>
    <xf numFmtId="180" fontId="66" fillId="29" borderId="0" xfId="0" applyNumberFormat="1" applyFont="1" applyFill="1" applyAlignment="1">
      <alignment vertical="center"/>
    </xf>
    <xf numFmtId="0" fontId="68" fillId="29" borderId="3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center" vertical="center"/>
    </xf>
    <xf numFmtId="177" fontId="68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 applyProtection="1">
      <alignment horizontal="left" vertical="center" wrapText="1"/>
      <protection locked="0"/>
    </xf>
    <xf numFmtId="49" fontId="70" fillId="29" borderId="3" xfId="0" applyNumberFormat="1" applyFont="1" applyFill="1" applyBorder="1" applyAlignment="1">
      <alignment horizontal="center" vertical="center"/>
    </xf>
    <xf numFmtId="170" fontId="66" fillId="29" borderId="3" xfId="0" applyNumberFormat="1" applyFont="1" applyFill="1" applyBorder="1" applyAlignment="1">
      <alignment horizontal="center"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178" fontId="83" fillId="29" borderId="3" xfId="0" applyNumberFormat="1" applyFont="1" applyFill="1" applyBorder="1" applyAlignment="1">
      <alignment horizontal="center" vertical="center" wrapText="1"/>
    </xf>
    <xf numFmtId="178" fontId="82" fillId="29" borderId="3" xfId="0" applyNumberFormat="1" applyFont="1" applyFill="1" applyBorder="1" applyAlignment="1">
      <alignment horizontal="center" vertical="center" wrapText="1"/>
    </xf>
    <xf numFmtId="49" fontId="70" fillId="29" borderId="3" xfId="0" applyNumberFormat="1" applyFont="1" applyFill="1" applyBorder="1" applyAlignment="1">
      <alignment horizontal="left" vertical="center" wrapText="1"/>
    </xf>
    <xf numFmtId="0" fontId="70" fillId="29" borderId="0" xfId="0" applyFont="1" applyFill="1" applyAlignment="1" applyProtection="1">
      <alignment horizontal="left" vertical="center"/>
      <protection locked="0"/>
    </xf>
    <xf numFmtId="170" fontId="70" fillId="29" borderId="0" xfId="0" applyNumberFormat="1" applyFont="1" applyFill="1" applyAlignment="1">
      <alignment horizontal="center" vertical="center" wrapText="1"/>
    </xf>
    <xf numFmtId="170" fontId="70" fillId="29" borderId="0" xfId="0" applyNumberFormat="1" applyFont="1" applyFill="1" applyAlignment="1">
      <alignment horizontal="right" vertical="center" wrapText="1"/>
    </xf>
    <xf numFmtId="170" fontId="66" fillId="29" borderId="0" xfId="0" applyNumberFormat="1" applyFont="1" applyFill="1" applyAlignment="1">
      <alignment horizontal="center" vertical="center" wrapText="1"/>
    </xf>
    <xf numFmtId="0" fontId="66" fillId="29" borderId="0" xfId="0" quotePrefix="1" applyFont="1" applyFill="1" applyAlignment="1">
      <alignment horizontal="center" vertical="center"/>
    </xf>
    <xf numFmtId="0" fontId="72" fillId="29" borderId="0" xfId="0" applyFont="1" applyFill="1" applyAlignment="1">
      <alignment horizontal="center" wrapText="1"/>
    </xf>
    <xf numFmtId="181" fontId="84" fillId="29" borderId="0" xfId="0" applyNumberFormat="1" applyFont="1" applyFill="1" applyAlignment="1">
      <alignment vertical="center"/>
    </xf>
    <xf numFmtId="181" fontId="4" fillId="29" borderId="0" xfId="0" applyNumberFormat="1" applyFont="1" applyFill="1" applyAlignment="1">
      <alignment vertical="center"/>
    </xf>
    <xf numFmtId="180" fontId="66" fillId="29" borderId="3" xfId="0" applyNumberFormat="1" applyFont="1" applyFill="1" applyBorder="1" applyAlignment="1">
      <alignment horizontal="center" vertical="center"/>
    </xf>
    <xf numFmtId="180" fontId="70" fillId="29" borderId="3" xfId="0" applyNumberFormat="1" applyFont="1" applyFill="1" applyBorder="1" applyAlignment="1">
      <alignment horizontal="center" vertical="center"/>
    </xf>
    <xf numFmtId="183" fontId="66" fillId="29" borderId="0" xfId="351" applyNumberFormat="1" applyFont="1" applyFill="1" applyBorder="1" applyAlignment="1">
      <alignment vertical="center"/>
    </xf>
    <xf numFmtId="183" fontId="91" fillId="29" borderId="0" xfId="351" applyNumberFormat="1" applyFont="1" applyFill="1" applyBorder="1" applyAlignment="1">
      <alignment vertical="center"/>
    </xf>
    <xf numFmtId="0" fontId="66" fillId="29" borderId="17" xfId="0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/>
    </xf>
    <xf numFmtId="0" fontId="66" fillId="29" borderId="0" xfId="0" applyFont="1" applyFill="1" applyAlignment="1">
      <alignment horizontal="left" vertical="center"/>
    </xf>
    <xf numFmtId="0" fontId="66" fillId="29" borderId="13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vertical="center" wrapText="1"/>
    </xf>
    <xf numFmtId="0" fontId="82" fillId="29" borderId="3" xfId="0" applyFont="1" applyFill="1" applyBorder="1" applyAlignment="1">
      <alignment horizontal="left" vertical="center"/>
    </xf>
    <xf numFmtId="0" fontId="68" fillId="29" borderId="3" xfId="0" applyFont="1" applyFill="1" applyBorder="1" applyAlignment="1">
      <alignment horizontal="center" vertical="center" wrapText="1"/>
    </xf>
    <xf numFmtId="0" fontId="83" fillId="29" borderId="17" xfId="0" applyFont="1" applyFill="1" applyBorder="1" applyAlignment="1">
      <alignment horizontal="left" vertical="center"/>
    </xf>
    <xf numFmtId="0" fontId="66" fillId="29" borderId="0" xfId="0" applyFont="1" applyFill="1" applyAlignment="1">
      <alignment vertical="center"/>
    </xf>
    <xf numFmtId="0" fontId="67" fillId="29" borderId="0" xfId="0" applyFont="1" applyFill="1" applyAlignment="1">
      <alignment vertical="center"/>
    </xf>
    <xf numFmtId="0" fontId="66" fillId="29" borderId="14" xfId="0" applyFont="1" applyFill="1" applyBorder="1" applyAlignment="1">
      <alignment horizontal="left" wrapText="1"/>
    </xf>
    <xf numFmtId="0" fontId="67" fillId="29" borderId="14" xfId="0" applyFont="1" applyFill="1" applyBorder="1" applyAlignment="1">
      <alignment horizontal="left" wrapText="1"/>
    </xf>
    <xf numFmtId="0" fontId="66" fillId="29" borderId="0" xfId="0" applyFont="1" applyFill="1" applyAlignment="1">
      <alignment horizontal="center" vertical="center"/>
    </xf>
    <xf numFmtId="0" fontId="66" fillId="29" borderId="14" xfId="0" applyFont="1" applyFill="1" applyBorder="1" applyAlignment="1">
      <alignment horizontal="left" vertical="center" wrapText="1"/>
    </xf>
    <xf numFmtId="0" fontId="67" fillId="29" borderId="14" xfId="0" applyFont="1" applyFill="1" applyBorder="1" applyAlignment="1">
      <alignment horizontal="left" vertical="center" wrapText="1"/>
    </xf>
    <xf numFmtId="0" fontId="66" fillId="29" borderId="0" xfId="0" applyFont="1" applyFill="1" applyAlignment="1">
      <alignment horizontal="left" vertical="center"/>
    </xf>
    <xf numFmtId="0" fontId="70" fillId="29" borderId="14" xfId="0" applyFont="1" applyFill="1" applyBorder="1" applyAlignment="1">
      <alignment horizontal="right" vertical="center"/>
    </xf>
    <xf numFmtId="0" fontId="66" fillId="29" borderId="0" xfId="0" applyFont="1" applyFill="1" applyAlignment="1">
      <alignment horizontal="left" vertical="center" wrapText="1"/>
    </xf>
    <xf numFmtId="0" fontId="66" fillId="29" borderId="13" xfId="0" applyFont="1" applyFill="1" applyBorder="1" applyAlignment="1">
      <alignment horizontal="right" vertical="center"/>
    </xf>
    <xf numFmtId="0" fontId="66" fillId="29" borderId="13" xfId="0" applyFont="1" applyFill="1" applyBorder="1" applyAlignment="1">
      <alignment horizontal="left" vertical="center" wrapText="1"/>
    </xf>
    <xf numFmtId="0" fontId="66" fillId="29" borderId="13" xfId="0" applyFont="1" applyFill="1" applyBorder="1" applyAlignment="1">
      <alignment horizontal="left" vertical="center"/>
    </xf>
    <xf numFmtId="0" fontId="66" fillId="29" borderId="14" xfId="0" applyFont="1" applyFill="1" applyBorder="1" applyAlignment="1">
      <alignment horizontal="right" vertical="center" wrapText="1"/>
    </xf>
    <xf numFmtId="0" fontId="66" fillId="29" borderId="14" xfId="0" applyFont="1" applyFill="1" applyBorder="1" applyAlignment="1">
      <alignment horizontal="left" vertical="center"/>
    </xf>
    <xf numFmtId="0" fontId="66" fillId="29" borderId="3" xfId="0" applyFont="1" applyFill="1" applyBorder="1" applyAlignment="1">
      <alignment horizontal="center" vertical="center"/>
    </xf>
    <xf numFmtId="0" fontId="70" fillId="29" borderId="16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left" vertical="center" wrapText="1"/>
    </xf>
    <xf numFmtId="0" fontId="66" fillId="29" borderId="16" xfId="0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0" fontId="70" fillId="29" borderId="14" xfId="0" applyFont="1" applyFill="1" applyBorder="1" applyAlignment="1">
      <alignment vertical="center"/>
    </xf>
    <xf numFmtId="0" fontId="71" fillId="29" borderId="3" xfId="0" applyFont="1" applyFill="1" applyBorder="1" applyAlignment="1">
      <alignment horizontal="center" vertical="center"/>
    </xf>
    <xf numFmtId="170" fontId="66" fillId="29" borderId="0" xfId="0" applyNumberFormat="1" applyFont="1" applyFill="1" applyAlignment="1">
      <alignment horizontal="center" wrapText="1"/>
    </xf>
    <xf numFmtId="170" fontId="66" fillId="29" borderId="0" xfId="0" quotePrefix="1" applyNumberFormat="1" applyFont="1" applyFill="1" applyAlignment="1">
      <alignment horizontal="center" wrapText="1"/>
    </xf>
    <xf numFmtId="0" fontId="71" fillId="29" borderId="3" xfId="0" applyFont="1" applyFill="1" applyBorder="1" applyAlignment="1" applyProtection="1">
      <alignment horizontal="center"/>
      <protection locked="0"/>
    </xf>
    <xf numFmtId="0" fontId="71" fillId="29" borderId="3" xfId="0" applyFont="1" applyFill="1" applyBorder="1" applyAlignment="1">
      <alignment horizontal="center" vertical="center" wrapText="1"/>
    </xf>
    <xf numFmtId="0" fontId="71" fillId="29" borderId="0" xfId="0" applyFont="1" applyFill="1" applyAlignment="1">
      <alignment horizontal="center" vertical="center" wrapText="1"/>
    </xf>
    <xf numFmtId="0" fontId="71" fillId="29" borderId="0" xfId="0" applyFont="1" applyFill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 shrinkToFit="1"/>
    </xf>
    <xf numFmtId="0" fontId="6" fillId="29" borderId="15" xfId="0" applyFont="1" applyFill="1" applyBorder="1" applyAlignment="1">
      <alignment horizontal="left" vertical="center" wrapText="1"/>
    </xf>
    <xf numFmtId="0" fontId="6" fillId="29" borderId="17" xfId="0" applyFont="1" applyFill="1" applyBorder="1" applyAlignment="1">
      <alignment horizontal="left" vertical="center" wrapText="1"/>
    </xf>
    <xf numFmtId="0" fontId="79" fillId="29" borderId="15" xfId="0" applyFont="1" applyFill="1" applyBorder="1" applyAlignment="1">
      <alignment horizontal="center" vertical="center" wrapText="1"/>
    </xf>
    <xf numFmtId="0" fontId="79" fillId="29" borderId="17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left" vertical="center" wrapText="1"/>
    </xf>
    <xf numFmtId="0" fontId="79" fillId="29" borderId="17" xfId="0" applyFont="1" applyFill="1" applyBorder="1" applyAlignment="1">
      <alignment horizontal="left" vertical="center" wrapText="1"/>
    </xf>
    <xf numFmtId="0" fontId="4" fillId="29" borderId="15" xfId="0" applyFont="1" applyFill="1" applyBorder="1" applyAlignment="1">
      <alignment horizontal="left" vertical="center"/>
    </xf>
    <xf numFmtId="0" fontId="4" fillId="29" borderId="17" xfId="0" applyFont="1" applyFill="1" applyBorder="1" applyAlignment="1">
      <alignment horizontal="left" vertical="center"/>
    </xf>
    <xf numFmtId="0" fontId="70" fillId="29" borderId="15" xfId="0" applyFont="1" applyFill="1" applyBorder="1" applyAlignment="1">
      <alignment horizontal="left" vertical="center"/>
    </xf>
    <xf numFmtId="0" fontId="70" fillId="29" borderId="17" xfId="0" applyFont="1" applyFill="1" applyBorder="1" applyAlignment="1">
      <alignment horizontal="left" vertical="center"/>
    </xf>
    <xf numFmtId="0" fontId="4" fillId="29" borderId="15" xfId="0" applyFont="1" applyFill="1" applyBorder="1" applyAlignment="1">
      <alignment horizontal="center" vertical="center"/>
    </xf>
    <xf numFmtId="0" fontId="4" fillId="29" borderId="17" xfId="0" applyFont="1" applyFill="1" applyBorder="1" applyAlignment="1">
      <alignment horizontal="center" vertical="center"/>
    </xf>
    <xf numFmtId="0" fontId="70" fillId="29" borderId="15" xfId="0" applyFont="1" applyFill="1" applyBorder="1" applyAlignment="1">
      <alignment horizontal="left" vertical="center" wrapText="1"/>
    </xf>
    <xf numFmtId="0" fontId="70" fillId="29" borderId="17" xfId="0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 vertical="center" wrapText="1"/>
    </xf>
    <xf numFmtId="0" fontId="74" fillId="29" borderId="17" xfId="0" applyFont="1" applyFill="1" applyBorder="1" applyAlignment="1">
      <alignment horizontal="left" vertical="center" wrapText="1"/>
    </xf>
    <xf numFmtId="0" fontId="79" fillId="29" borderId="15" xfId="0" applyFont="1" applyFill="1" applyBorder="1" applyAlignment="1">
      <alignment horizontal="left" vertical="center"/>
    </xf>
    <xf numFmtId="0" fontId="79" fillId="29" borderId="17" xfId="0" applyFont="1" applyFill="1" applyBorder="1" applyAlignment="1">
      <alignment horizontal="left" vertical="center"/>
    </xf>
    <xf numFmtId="0" fontId="70" fillId="29" borderId="15" xfId="0" applyFont="1" applyFill="1" applyBorder="1" applyAlignment="1">
      <alignment horizontal="center" vertical="center"/>
    </xf>
    <xf numFmtId="0" fontId="70" fillId="29" borderId="17" xfId="0" applyFont="1" applyFill="1" applyBorder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 shrinkToFit="1"/>
    </xf>
    <xf numFmtId="0" fontId="5" fillId="29" borderId="18" xfId="0" applyFont="1" applyFill="1" applyBorder="1" applyAlignment="1">
      <alignment horizontal="center" vertical="center" wrapText="1" shrinkToFi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/>
    </xf>
    <xf numFmtId="0" fontId="70" fillId="29" borderId="16" xfId="0" applyFont="1" applyFill="1" applyBorder="1" applyAlignment="1">
      <alignment horizontal="center"/>
    </xf>
    <xf numFmtId="0" fontId="72" fillId="29" borderId="13" xfId="0" applyFont="1" applyFill="1" applyBorder="1" applyAlignment="1">
      <alignment horizontal="center" wrapText="1"/>
    </xf>
    <xf numFmtId="0" fontId="83" fillId="29" borderId="15" xfId="0" applyFont="1" applyFill="1" applyBorder="1" applyAlignment="1">
      <alignment horizontal="center" vertical="center"/>
    </xf>
    <xf numFmtId="0" fontId="83" fillId="29" borderId="17" xfId="0" applyFont="1" applyFill="1" applyBorder="1" applyAlignment="1">
      <alignment horizontal="center" vertical="center"/>
    </xf>
    <xf numFmtId="0" fontId="5" fillId="29" borderId="21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170" fontId="5" fillId="29" borderId="14" xfId="0" applyNumberFormat="1" applyFont="1" applyFill="1" applyBorder="1" applyAlignment="1">
      <alignment horizontal="left" vertical="center" wrapText="1"/>
    </xf>
    <xf numFmtId="0" fontId="4" fillId="29" borderId="14" xfId="0" applyFont="1" applyFill="1" applyBorder="1" applyAlignment="1">
      <alignment horizontal="center"/>
    </xf>
    <xf numFmtId="0" fontId="73" fillId="29" borderId="14" xfId="0" applyFont="1" applyFill="1" applyBorder="1" applyAlignment="1">
      <alignment horizontal="center"/>
    </xf>
    <xf numFmtId="0" fontId="5" fillId="29" borderId="0" xfId="0" applyFont="1" applyFill="1" applyAlignment="1">
      <alignment horizontal="left" vertical="center"/>
    </xf>
    <xf numFmtId="0" fontId="70" fillId="29" borderId="0" xfId="0" applyFont="1" applyFill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/>
    </xf>
    <xf numFmtId="0" fontId="65" fillId="29" borderId="0" xfId="0" applyFont="1" applyFill="1" applyAlignment="1">
      <alignment vertical="center" wrapText="1"/>
    </xf>
    <xf numFmtId="0" fontId="67" fillId="29" borderId="0" xfId="0" applyFont="1" applyFill="1" applyAlignment="1">
      <alignment vertical="center" wrapText="1"/>
    </xf>
    <xf numFmtId="0" fontId="70" fillId="29" borderId="14" xfId="0" applyFont="1" applyFill="1" applyBorder="1" applyAlignment="1">
      <alignment horizontal="center" wrapText="1"/>
    </xf>
    <xf numFmtId="0" fontId="67" fillId="29" borderId="14" xfId="0" applyFont="1" applyFill="1" applyBorder="1" applyAlignment="1">
      <alignment horizontal="center"/>
    </xf>
    <xf numFmtId="0" fontId="66" fillId="29" borderId="0" xfId="0" applyFont="1" applyFill="1" applyAlignment="1">
      <alignment horizontal="center"/>
    </xf>
    <xf numFmtId="0" fontId="70" fillId="29" borderId="14" xfId="0" applyFont="1" applyFill="1" applyBorder="1" applyAlignment="1">
      <alignment horizontal="center"/>
    </xf>
    <xf numFmtId="0" fontId="70" fillId="29" borderId="0" xfId="0" applyFont="1" applyFill="1" applyAlignment="1">
      <alignment horizontal="center" vertical="center" wrapText="1" shrinkToFit="1"/>
    </xf>
    <xf numFmtId="0" fontId="70" fillId="29" borderId="0" xfId="0" applyFont="1" applyFill="1" applyAlignment="1">
      <alignment horizontal="center" vertical="center"/>
    </xf>
    <xf numFmtId="0" fontId="66" fillId="29" borderId="15" xfId="0" applyFont="1" applyFill="1" applyBorder="1" applyAlignment="1">
      <alignment horizontal="left" vertical="center" wrapText="1"/>
    </xf>
    <xf numFmtId="0" fontId="66" fillId="29" borderId="17" xfId="0" applyFont="1" applyFill="1" applyBorder="1" applyAlignment="1">
      <alignment horizontal="left" vertical="center" wrapText="1"/>
    </xf>
    <xf numFmtId="3" fontId="70" fillId="29" borderId="15" xfId="0" applyNumberFormat="1" applyFont="1" applyFill="1" applyBorder="1" applyAlignment="1">
      <alignment horizontal="left" vertical="center" wrapText="1"/>
    </xf>
    <xf numFmtId="3" fontId="70" fillId="29" borderId="16" xfId="0" applyNumberFormat="1" applyFont="1" applyFill="1" applyBorder="1" applyAlignment="1">
      <alignment horizontal="left" vertical="center" wrapText="1"/>
    </xf>
    <xf numFmtId="3" fontId="70" fillId="29" borderId="17" xfId="0" applyNumberFormat="1" applyFont="1" applyFill="1" applyBorder="1" applyAlignment="1">
      <alignment horizontal="left" vertical="center" wrapText="1"/>
    </xf>
    <xf numFmtId="0" fontId="70" fillId="29" borderId="15" xfId="0" applyFont="1" applyFill="1" applyBorder="1" applyAlignment="1">
      <alignment horizontal="center" vertical="center" wrapText="1"/>
    </xf>
    <xf numFmtId="0" fontId="70" fillId="29" borderId="16" xfId="0" applyFont="1" applyFill="1" applyBorder="1" applyAlignment="1">
      <alignment horizontal="center" vertical="center" wrapText="1"/>
    </xf>
    <xf numFmtId="0" fontId="70" fillId="29" borderId="17" xfId="0" applyFont="1" applyFill="1" applyBorder="1" applyAlignment="1">
      <alignment horizontal="center" vertical="center" wrapText="1"/>
    </xf>
    <xf numFmtId="0" fontId="66" fillId="29" borderId="3" xfId="234" applyFont="1" applyFill="1" applyBorder="1" applyAlignment="1">
      <alignment horizontal="left" wrapText="1"/>
    </xf>
  </cellXfs>
  <cellStyles count="352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A000000}"/>
    <cellStyle name="Итог 3" xfId="219" xr:uid="{00000000-0005-0000-0000-0000DB000000}"/>
    <cellStyle name="Контрольная ячейка 2" xfId="220" xr:uid="{00000000-0005-0000-0000-0000DC000000}"/>
    <cellStyle name="Контрольная ячейка 3" xfId="221" xr:uid="{00000000-0005-0000-0000-0000DD000000}"/>
    <cellStyle name="Название 2" xfId="222" xr:uid="{00000000-0005-0000-0000-0000DE000000}"/>
    <cellStyle name="Название 3" xfId="223" xr:uid="{00000000-0005-0000-0000-0000DF000000}"/>
    <cellStyle name="Нейтральный 2" xfId="224" xr:uid="{00000000-0005-0000-0000-0000E0000000}"/>
    <cellStyle name="Нейтральный 3" xfId="225" xr:uid="{00000000-0005-0000-0000-0000E1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" xfId="351" builtinId="5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5;&#1072;&#1087;&#1082;&#1080;%20&#1091;&#1087;&#1088;&#1072;&#1074;&#1083;&#1110;&#1085;&#1100;%20(DATA)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352"/>
  <sheetViews>
    <sheetView tabSelected="1" view="pageBreakPreview" topLeftCell="B75" zoomScale="75" zoomScaleNormal="75" zoomScaleSheetLayoutView="75" workbookViewId="0">
      <selection activeCell="E121" sqref="E121"/>
    </sheetView>
  </sheetViews>
  <sheetFormatPr defaultRowHeight="20.25"/>
  <cols>
    <col min="1" max="1" width="66.85546875" style="113" customWidth="1"/>
    <col min="2" max="2" width="13.7109375" style="124" customWidth="1"/>
    <col min="3" max="3" width="17.140625" style="124" customWidth="1"/>
    <col min="4" max="5" width="18" style="124" customWidth="1"/>
    <col min="6" max="6" width="19" style="113" customWidth="1"/>
    <col min="7" max="7" width="18.7109375" style="113" customWidth="1"/>
    <col min="8" max="8" width="19" style="113" customWidth="1"/>
    <col min="9" max="9" width="18.7109375" style="113" customWidth="1"/>
    <col min="10" max="10" width="19.7109375" style="113" customWidth="1"/>
    <col min="11" max="11" width="1" style="113" hidden="1" customWidth="1"/>
    <col min="12" max="12" width="17.5703125" style="113" customWidth="1"/>
    <col min="13" max="13" width="15.85546875" style="113" customWidth="1"/>
    <col min="14" max="14" width="18.140625" style="113" customWidth="1"/>
    <col min="15" max="15" width="16.5703125" style="113" customWidth="1"/>
    <col min="16" max="16" width="16.7109375" style="113" customWidth="1"/>
    <col min="17" max="17" width="18" style="113" customWidth="1"/>
    <col min="18" max="18" width="19.85546875" style="113" customWidth="1"/>
    <col min="19" max="19" width="15.85546875" style="113" customWidth="1"/>
    <col min="20" max="16384" width="9.140625" style="113"/>
  </cols>
  <sheetData>
    <row r="1" spans="1:11" ht="18.75" customHeight="1">
      <c r="A1" s="235"/>
      <c r="B1" s="236"/>
      <c r="D1" s="113"/>
      <c r="E1" s="113"/>
      <c r="F1" s="113" t="s">
        <v>443</v>
      </c>
    </row>
    <row r="2" spans="1:11">
      <c r="A2" s="236"/>
      <c r="B2" s="236"/>
      <c r="D2" s="113"/>
      <c r="E2" s="113"/>
      <c r="F2" s="113" t="s">
        <v>257</v>
      </c>
    </row>
    <row r="3" spans="1:11" ht="18.75" customHeight="1">
      <c r="A3" s="236"/>
      <c r="B3" s="236"/>
      <c r="D3" s="130"/>
      <c r="E3" s="130"/>
      <c r="F3" s="113" t="s">
        <v>258</v>
      </c>
    </row>
    <row r="4" spans="1:11" ht="18.75" customHeight="1">
      <c r="A4" s="236"/>
      <c r="B4" s="236"/>
      <c r="D4" s="130"/>
      <c r="E4" s="130"/>
      <c r="J4" s="172"/>
      <c r="K4" s="172"/>
    </row>
    <row r="5" spans="1:11" ht="18.75" customHeight="1">
      <c r="A5" s="236"/>
      <c r="B5" s="236"/>
      <c r="D5" s="130"/>
      <c r="E5" s="130"/>
      <c r="K5" s="227"/>
    </row>
    <row r="6" spans="1:11" ht="18.75" customHeight="1">
      <c r="A6" s="236"/>
      <c r="B6" s="236"/>
      <c r="D6" s="130"/>
      <c r="E6" s="130"/>
      <c r="F6" s="173"/>
      <c r="J6" s="227"/>
      <c r="K6" s="227"/>
    </row>
    <row r="7" spans="1:11" ht="18.75" customHeight="1">
      <c r="A7" s="124"/>
      <c r="D7" s="130"/>
      <c r="E7" s="130"/>
      <c r="F7" s="130"/>
      <c r="G7" s="227"/>
      <c r="H7" s="227"/>
      <c r="I7" s="227"/>
      <c r="J7" s="227"/>
      <c r="K7" s="227"/>
    </row>
    <row r="8" spans="1:11" ht="18.75" customHeight="1">
      <c r="D8" s="130"/>
      <c r="E8" s="130"/>
      <c r="F8" s="130"/>
      <c r="G8" s="242"/>
      <c r="H8" s="242"/>
      <c r="I8" s="242"/>
      <c r="J8" s="242"/>
      <c r="K8" s="242"/>
    </row>
    <row r="9" spans="1:11" ht="18.75" customHeight="1">
      <c r="A9" s="113" t="s">
        <v>120</v>
      </c>
      <c r="B9" s="130"/>
      <c r="F9" s="227"/>
      <c r="G9" s="242" t="s">
        <v>40</v>
      </c>
      <c r="H9" s="242"/>
      <c r="I9" s="242"/>
      <c r="J9" s="242"/>
      <c r="K9" s="242"/>
    </row>
    <row r="10" spans="1:11">
      <c r="B10" s="130"/>
      <c r="D10" s="227"/>
      <c r="E10" s="227"/>
      <c r="F10" s="227"/>
      <c r="G10" s="240"/>
      <c r="H10" s="240"/>
      <c r="I10" s="240"/>
      <c r="J10" s="240"/>
      <c r="K10" s="240"/>
    </row>
    <row r="11" spans="1:11" ht="18.75" customHeight="1">
      <c r="A11" s="237" t="s">
        <v>259</v>
      </c>
      <c r="B11" s="238"/>
      <c r="C11" s="141"/>
      <c r="D11" s="141"/>
      <c r="E11" s="141"/>
      <c r="F11" s="174"/>
      <c r="G11" s="228"/>
      <c r="H11" s="228"/>
      <c r="I11" s="228"/>
      <c r="J11" s="175" t="s">
        <v>153</v>
      </c>
      <c r="K11" s="228"/>
    </row>
    <row r="12" spans="1:11" ht="20.25" customHeight="1">
      <c r="A12" s="227"/>
      <c r="D12" s="113"/>
      <c r="E12" s="113"/>
      <c r="G12" s="240"/>
      <c r="H12" s="240"/>
      <c r="I12" s="240"/>
      <c r="J12" s="240"/>
      <c r="K12" s="240"/>
    </row>
    <row r="13" spans="1:11" ht="19.5" customHeight="1">
      <c r="A13" s="243" t="s">
        <v>444</v>
      </c>
      <c r="B13" s="243"/>
      <c r="F13" s="130"/>
      <c r="G13" s="228"/>
      <c r="H13" s="228"/>
      <c r="I13" s="228"/>
      <c r="J13" s="228"/>
      <c r="K13" s="228"/>
    </row>
    <row r="14" spans="1:11" ht="19.5" customHeight="1">
      <c r="A14" s="239" t="s">
        <v>109</v>
      </c>
      <c r="B14" s="239"/>
      <c r="F14" s="130"/>
      <c r="G14" s="240"/>
      <c r="H14" s="240"/>
      <c r="I14" s="240"/>
      <c r="J14" s="240"/>
      <c r="K14" s="240"/>
    </row>
    <row r="15" spans="1:11" ht="19.5" customHeight="1">
      <c r="A15" s="239"/>
      <c r="B15" s="239"/>
      <c r="D15" s="130"/>
      <c r="E15" s="130"/>
      <c r="F15" s="130"/>
      <c r="G15" s="246"/>
      <c r="H15" s="246"/>
      <c r="I15" s="246"/>
      <c r="J15" s="246"/>
      <c r="K15" s="246"/>
    </row>
    <row r="16" spans="1:11" ht="16.5" customHeight="1">
      <c r="A16" s="239"/>
      <c r="B16" s="239"/>
      <c r="D16" s="130"/>
      <c r="E16" s="130"/>
      <c r="F16" s="130"/>
      <c r="G16" s="227"/>
      <c r="H16" s="227"/>
      <c r="I16" s="227"/>
      <c r="J16" s="227"/>
      <c r="K16" s="227"/>
    </row>
    <row r="17" spans="1:11" ht="16.5" customHeight="1">
      <c r="A17" s="124"/>
      <c r="D17" s="130"/>
      <c r="E17" s="130"/>
      <c r="F17" s="130"/>
      <c r="G17" s="227"/>
      <c r="H17" s="227"/>
      <c r="I17" s="227"/>
      <c r="J17" s="227"/>
      <c r="K17" s="227"/>
    </row>
    <row r="18" spans="1:11" ht="18.75" customHeight="1">
      <c r="A18" s="242" t="s">
        <v>121</v>
      </c>
      <c r="B18" s="242"/>
      <c r="D18" s="130"/>
      <c r="E18" s="130"/>
      <c r="F18" s="130"/>
      <c r="G18" s="242" t="s">
        <v>121</v>
      </c>
      <c r="H18" s="242"/>
      <c r="I18" s="242"/>
      <c r="J18" s="242"/>
      <c r="K18" s="242"/>
    </row>
    <row r="19" spans="1:11" ht="13.5" customHeight="1">
      <c r="D19" s="130"/>
      <c r="E19" s="130"/>
      <c r="F19" s="130"/>
      <c r="J19" s="124"/>
      <c r="K19" s="124"/>
    </row>
    <row r="20" spans="1:11" ht="21" customHeight="1">
      <c r="A20" s="240" t="s">
        <v>533</v>
      </c>
      <c r="B20" s="241"/>
      <c r="E20" s="124" t="s">
        <v>122</v>
      </c>
      <c r="F20" s="227"/>
      <c r="G20" s="249" t="s">
        <v>260</v>
      </c>
      <c r="H20" s="249"/>
      <c r="I20" s="249"/>
      <c r="J20" s="249"/>
      <c r="K20" s="124"/>
    </row>
    <row r="21" spans="1:11">
      <c r="A21" s="247"/>
      <c r="B21" s="247"/>
    </row>
    <row r="22" spans="1:11">
      <c r="A22" s="243" t="s">
        <v>445</v>
      </c>
      <c r="B22" s="243"/>
      <c r="G22" s="248" t="s">
        <v>446</v>
      </c>
      <c r="H22" s="248"/>
      <c r="I22" s="248"/>
      <c r="J22" s="248"/>
      <c r="K22" s="248"/>
    </row>
    <row r="23" spans="1:11" ht="15.75" customHeight="1">
      <c r="A23" s="239" t="s">
        <v>109</v>
      </c>
      <c r="B23" s="239"/>
      <c r="G23" s="245" t="s">
        <v>109</v>
      </c>
      <c r="H23" s="245"/>
      <c r="I23" s="245"/>
      <c r="J23" s="245"/>
      <c r="K23" s="245"/>
    </row>
    <row r="24" spans="1:11" ht="15.75" customHeight="1">
      <c r="G24" s="244"/>
      <c r="H24" s="244"/>
      <c r="I24" s="244"/>
      <c r="J24" s="244"/>
      <c r="K24" s="244"/>
    </row>
    <row r="25" spans="1:11">
      <c r="C25" s="176"/>
      <c r="D25" s="177"/>
      <c r="E25" s="177"/>
      <c r="G25" s="244"/>
      <c r="H25" s="244"/>
      <c r="I25" s="244"/>
      <c r="J25" s="244"/>
      <c r="K25" s="244"/>
    </row>
    <row r="26" spans="1:11" ht="18" customHeight="1">
      <c r="B26" s="177"/>
      <c r="C26" s="176"/>
      <c r="D26" s="177"/>
      <c r="E26" s="177"/>
      <c r="G26" s="178"/>
      <c r="H26" s="178"/>
      <c r="I26" s="178"/>
      <c r="J26" s="178"/>
      <c r="K26" s="178"/>
    </row>
    <row r="27" spans="1:11" ht="17.25" customHeight="1">
      <c r="B27" s="113"/>
      <c r="D27" s="178"/>
      <c r="E27" s="178"/>
      <c r="F27" s="178"/>
    </row>
    <row r="28" spans="1:11" ht="21" hidden="1" customHeight="1">
      <c r="B28" s="113"/>
      <c r="D28" s="178"/>
      <c r="E28" s="178"/>
      <c r="F28" s="178"/>
    </row>
    <row r="29" spans="1:11" ht="21" hidden="1" customHeight="1">
      <c r="B29" s="113"/>
      <c r="D29" s="178"/>
      <c r="E29" s="178"/>
      <c r="F29" s="178"/>
      <c r="I29" s="137"/>
      <c r="J29" s="137"/>
      <c r="K29" s="137"/>
    </row>
    <row r="30" spans="1:11" hidden="1">
      <c r="F30" s="124"/>
      <c r="G30" s="124"/>
      <c r="H30" s="124"/>
      <c r="I30" s="124"/>
      <c r="J30" s="124"/>
      <c r="K30" s="124"/>
    </row>
    <row r="31" spans="1:11" ht="25.5" customHeight="1">
      <c r="A31" s="179"/>
      <c r="B31" s="253"/>
      <c r="C31" s="253"/>
      <c r="D31" s="253"/>
      <c r="E31" s="253"/>
      <c r="F31" s="253"/>
      <c r="G31" s="180"/>
      <c r="H31" s="180"/>
      <c r="I31" s="181">
        <v>2022</v>
      </c>
      <c r="J31" s="182" t="s">
        <v>44</v>
      </c>
      <c r="K31" s="19" t="s">
        <v>61</v>
      </c>
    </row>
    <row r="32" spans="1:11" ht="42" customHeight="1">
      <c r="A32" s="230" t="s">
        <v>9</v>
      </c>
      <c r="B32" s="251" t="s">
        <v>221</v>
      </c>
      <c r="C32" s="251"/>
      <c r="D32" s="251"/>
      <c r="E32" s="251"/>
      <c r="F32" s="251"/>
      <c r="G32" s="251"/>
      <c r="H32" s="183"/>
      <c r="I32" s="184" t="s">
        <v>317</v>
      </c>
      <c r="J32" s="185" t="s">
        <v>43</v>
      </c>
      <c r="K32" s="19"/>
    </row>
    <row r="33" spans="1:11" ht="24.75" customHeight="1">
      <c r="A33" s="230" t="s">
        <v>10</v>
      </c>
      <c r="B33" s="253" t="s">
        <v>261</v>
      </c>
      <c r="C33" s="253"/>
      <c r="D33" s="253"/>
      <c r="E33" s="253"/>
      <c r="F33" s="253"/>
      <c r="G33" s="183"/>
      <c r="H33" s="183"/>
      <c r="I33" s="184">
        <v>150</v>
      </c>
      <c r="J33" s="185" t="s">
        <v>42</v>
      </c>
      <c r="K33" s="19"/>
    </row>
    <row r="34" spans="1:11" ht="24.75" customHeight="1">
      <c r="A34" s="230" t="s">
        <v>14</v>
      </c>
      <c r="B34" s="253" t="s">
        <v>222</v>
      </c>
      <c r="C34" s="253"/>
      <c r="D34" s="253"/>
      <c r="E34" s="253"/>
      <c r="F34" s="253"/>
      <c r="G34" s="183"/>
      <c r="H34" s="183"/>
      <c r="I34" s="184" t="s">
        <v>318</v>
      </c>
      <c r="J34" s="185" t="s">
        <v>41</v>
      </c>
      <c r="K34" s="19"/>
    </row>
    <row r="35" spans="1:11" ht="24.75" customHeight="1">
      <c r="A35" s="230" t="s">
        <v>216</v>
      </c>
      <c r="B35" s="253" t="s">
        <v>524</v>
      </c>
      <c r="C35" s="253"/>
      <c r="D35" s="253"/>
      <c r="E35" s="253"/>
      <c r="F35" s="253"/>
      <c r="G35" s="183"/>
      <c r="H35" s="183"/>
      <c r="I35" s="184">
        <v>17184</v>
      </c>
      <c r="J35" s="185" t="s">
        <v>5</v>
      </c>
      <c r="K35" s="19"/>
    </row>
    <row r="36" spans="1:11" ht="24.75" customHeight="1">
      <c r="A36" s="230" t="s">
        <v>12</v>
      </c>
      <c r="B36" s="253" t="s">
        <v>525</v>
      </c>
      <c r="C36" s="253"/>
      <c r="D36" s="253"/>
      <c r="E36" s="253"/>
      <c r="F36" s="253"/>
      <c r="G36" s="183"/>
      <c r="H36" s="183"/>
      <c r="I36" s="184"/>
      <c r="J36" s="185" t="s">
        <v>4</v>
      </c>
      <c r="K36" s="19"/>
    </row>
    <row r="37" spans="1:11" ht="24.75" customHeight="1">
      <c r="A37" s="230" t="s">
        <v>11</v>
      </c>
      <c r="B37" s="253" t="s">
        <v>223</v>
      </c>
      <c r="C37" s="253"/>
      <c r="D37" s="253"/>
      <c r="E37" s="253"/>
      <c r="F37" s="253"/>
      <c r="G37" s="183"/>
      <c r="H37" s="183"/>
      <c r="I37" s="184" t="s">
        <v>220</v>
      </c>
      <c r="J37" s="185" t="s">
        <v>6</v>
      </c>
      <c r="K37" s="19"/>
    </row>
    <row r="38" spans="1:11" ht="24.75" customHeight="1">
      <c r="A38" s="230" t="s">
        <v>110</v>
      </c>
      <c r="B38" s="253" t="s">
        <v>227</v>
      </c>
      <c r="C38" s="253"/>
      <c r="D38" s="253"/>
      <c r="E38" s="253"/>
      <c r="F38" s="253"/>
      <c r="G38" s="254" t="s">
        <v>53</v>
      </c>
      <c r="H38" s="254"/>
      <c r="I38" s="255"/>
      <c r="J38" s="185"/>
      <c r="K38" s="19"/>
    </row>
    <row r="39" spans="1:11" ht="24.75" customHeight="1">
      <c r="A39" s="230" t="s">
        <v>15</v>
      </c>
      <c r="B39" s="253" t="s">
        <v>224</v>
      </c>
      <c r="C39" s="253"/>
      <c r="D39" s="253"/>
      <c r="E39" s="253"/>
      <c r="F39" s="253"/>
      <c r="G39" s="254" t="s">
        <v>54</v>
      </c>
      <c r="H39" s="254"/>
      <c r="I39" s="255"/>
      <c r="J39" s="185"/>
      <c r="K39" s="19"/>
    </row>
    <row r="40" spans="1:11" ht="24.75" customHeight="1">
      <c r="A40" s="230" t="s">
        <v>37</v>
      </c>
      <c r="B40" s="253">
        <v>242</v>
      </c>
      <c r="C40" s="253"/>
      <c r="D40" s="253"/>
      <c r="E40" s="253"/>
      <c r="F40" s="253"/>
      <c r="G40" s="183"/>
      <c r="H40" s="183"/>
      <c r="I40" s="15"/>
      <c r="J40" s="185"/>
      <c r="K40" s="19"/>
    </row>
    <row r="41" spans="1:11" ht="24.75" customHeight="1">
      <c r="A41" s="230" t="s">
        <v>119</v>
      </c>
      <c r="B41" s="253" t="s">
        <v>225</v>
      </c>
      <c r="C41" s="253"/>
      <c r="D41" s="253"/>
      <c r="E41" s="253"/>
      <c r="F41" s="253"/>
      <c r="G41" s="183"/>
      <c r="H41" s="183"/>
      <c r="I41" s="15"/>
      <c r="J41" s="185"/>
      <c r="K41" s="19"/>
    </row>
    <row r="42" spans="1:11" ht="24.75" customHeight="1">
      <c r="A42" s="230" t="s">
        <v>7</v>
      </c>
      <c r="B42" s="253" t="s">
        <v>226</v>
      </c>
      <c r="C42" s="253"/>
      <c r="D42" s="253"/>
      <c r="E42" s="253"/>
      <c r="F42" s="253"/>
      <c r="G42" s="183"/>
      <c r="H42" s="183"/>
      <c r="I42" s="15"/>
      <c r="J42" s="185"/>
      <c r="K42" s="19"/>
    </row>
    <row r="43" spans="1:11" ht="24.75" customHeight="1">
      <c r="A43" s="230" t="s">
        <v>8</v>
      </c>
      <c r="B43" s="253" t="s">
        <v>432</v>
      </c>
      <c r="C43" s="253"/>
      <c r="D43" s="253"/>
      <c r="E43" s="253"/>
      <c r="F43" s="253"/>
      <c r="G43" s="183"/>
      <c r="H43" s="183"/>
      <c r="I43" s="15"/>
      <c r="J43" s="185"/>
      <c r="K43" s="19"/>
    </row>
    <row r="44" spans="1:11" ht="69" customHeight="1">
      <c r="A44" s="263" t="s">
        <v>532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spans="1:11" ht="30" customHeight="1">
      <c r="A45" s="264" t="s">
        <v>55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4"/>
    </row>
    <row r="46" spans="1:11" ht="23.25" customHeight="1">
      <c r="B46" s="227"/>
      <c r="D46" s="227"/>
      <c r="E46" s="227"/>
      <c r="F46" s="227"/>
      <c r="G46" s="227"/>
      <c r="H46" s="227"/>
      <c r="I46" s="227"/>
      <c r="J46" s="141" t="s">
        <v>130</v>
      </c>
      <c r="K46" s="227" t="s">
        <v>124</v>
      </c>
    </row>
    <row r="47" spans="1:11" ht="23.25" customHeight="1">
      <c r="A47" s="250" t="s">
        <v>64</v>
      </c>
      <c r="B47" s="252" t="s">
        <v>13</v>
      </c>
      <c r="C47" s="252" t="s">
        <v>377</v>
      </c>
      <c r="D47" s="252" t="s">
        <v>378</v>
      </c>
      <c r="E47" s="265" t="s">
        <v>379</v>
      </c>
      <c r="F47" s="252" t="s">
        <v>380</v>
      </c>
      <c r="G47" s="250" t="s">
        <v>123</v>
      </c>
      <c r="H47" s="250"/>
      <c r="I47" s="250"/>
      <c r="J47" s="250"/>
      <c r="K47" s="182"/>
    </row>
    <row r="48" spans="1:11" ht="96.75" customHeight="1">
      <c r="A48" s="250"/>
      <c r="B48" s="252"/>
      <c r="C48" s="252"/>
      <c r="D48" s="252"/>
      <c r="E48" s="265"/>
      <c r="F48" s="252"/>
      <c r="G48" s="4" t="s">
        <v>50</v>
      </c>
      <c r="H48" s="4" t="s">
        <v>51</v>
      </c>
      <c r="I48" s="4" t="s">
        <v>52</v>
      </c>
      <c r="J48" s="4" t="s">
        <v>23</v>
      </c>
      <c r="K48" s="231"/>
    </row>
    <row r="49" spans="1:17" ht="20.100000000000001" customHeight="1">
      <c r="A49" s="19">
        <v>1</v>
      </c>
      <c r="B49" s="10">
        <v>2</v>
      </c>
      <c r="C49" s="10">
        <v>3</v>
      </c>
      <c r="D49" s="10">
        <v>4</v>
      </c>
      <c r="E49" s="10">
        <v>5</v>
      </c>
      <c r="F49" s="10">
        <v>6</v>
      </c>
      <c r="G49" s="10">
        <v>7</v>
      </c>
      <c r="H49" s="10">
        <v>8</v>
      </c>
      <c r="I49" s="10">
        <v>9</v>
      </c>
      <c r="J49" s="252">
        <v>10</v>
      </c>
      <c r="K49" s="252"/>
    </row>
    <row r="50" spans="1:17" ht="24.95" customHeight="1">
      <c r="A50" s="262" t="s">
        <v>190</v>
      </c>
      <c r="B50" s="262"/>
      <c r="C50" s="262"/>
      <c r="D50" s="262"/>
      <c r="E50" s="262"/>
      <c r="F50" s="262"/>
      <c r="G50" s="262"/>
      <c r="H50" s="262"/>
      <c r="I50" s="262"/>
      <c r="J50" s="262"/>
      <c r="K50" s="262"/>
    </row>
    <row r="51" spans="1:17" ht="45" customHeight="1">
      <c r="A51" s="186" t="s">
        <v>156</v>
      </c>
      <c r="B51" s="187">
        <v>1000</v>
      </c>
      <c r="C51" s="9">
        <f>'Розшифровка 1 до Формування'!D8</f>
        <v>27137.1</v>
      </c>
      <c r="D51" s="9">
        <f>'Розшифровка 1 до Формування'!E8</f>
        <v>62038.9</v>
      </c>
      <c r="E51" s="9">
        <f>'Розшифровка 1 до Формування'!F8</f>
        <v>57463.5</v>
      </c>
      <c r="F51" s="9">
        <f>SUM(G51:K51)</f>
        <v>86127</v>
      </c>
      <c r="G51" s="9">
        <f>'Розшифровка 1 до Формування'!H8</f>
        <v>22123.1</v>
      </c>
      <c r="H51" s="9">
        <f>'Розшифровка 1 до Формування'!I8</f>
        <v>22041.899999999998</v>
      </c>
      <c r="I51" s="9">
        <f>'Розшифровка 1 до Формування'!J8</f>
        <v>19949.600000000002</v>
      </c>
      <c r="J51" s="256">
        <f>'Розшифровка 1 до Формування'!K8</f>
        <v>22012.399999999998</v>
      </c>
      <c r="K51" s="256"/>
      <c r="L51" s="134"/>
    </row>
    <row r="52" spans="1:17" ht="47.25" customHeight="1">
      <c r="A52" s="186" t="s">
        <v>154</v>
      </c>
      <c r="B52" s="187">
        <v>1010</v>
      </c>
      <c r="C52" s="9">
        <f>SUM(C53:C57)</f>
        <v>-42714.899999999994</v>
      </c>
      <c r="D52" s="9">
        <f t="shared" ref="D52:I52" si="0">SUM(D53:D57)</f>
        <v>-64507.1</v>
      </c>
      <c r="E52" s="9">
        <f t="shared" si="0"/>
        <v>-70320.100000000006</v>
      </c>
      <c r="F52" s="9">
        <f>SUM(G52:J52)</f>
        <v>-83540.5</v>
      </c>
      <c r="G52" s="9">
        <f>SUM(G53:G57)</f>
        <v>-22185.9</v>
      </c>
      <c r="H52" s="9">
        <f>SUM(H53:H57)</f>
        <v>-22439.699999999997</v>
      </c>
      <c r="I52" s="9">
        <f t="shared" si="0"/>
        <v>-19016.900000000001</v>
      </c>
      <c r="J52" s="9">
        <f>SUM(J53:J57)</f>
        <v>-19898</v>
      </c>
      <c r="K52" s="11"/>
      <c r="L52" s="134"/>
    </row>
    <row r="53" spans="1:17" ht="39" customHeight="1">
      <c r="A53" s="123" t="s">
        <v>263</v>
      </c>
      <c r="B53" s="19">
        <v>1011</v>
      </c>
      <c r="C53" s="11">
        <v>-17242.2</v>
      </c>
      <c r="D53" s="11">
        <v>-20051</v>
      </c>
      <c r="E53" s="11">
        <v>-29049.200000000001</v>
      </c>
      <c r="F53" s="11">
        <f t="shared" ref="F53:F84" si="1">SUM(G53:J53)</f>
        <v>-28740</v>
      </c>
      <c r="G53" s="11">
        <v>-9735</v>
      </c>
      <c r="H53" s="11">
        <v>-7416.9</v>
      </c>
      <c r="I53" s="11">
        <v>-5345.3</v>
      </c>
      <c r="J53" s="11">
        <v>-6242.8</v>
      </c>
      <c r="K53" s="11"/>
      <c r="L53" s="134"/>
    </row>
    <row r="54" spans="1:17" ht="28.5" customHeight="1">
      <c r="A54" s="123" t="s">
        <v>1</v>
      </c>
      <c r="B54" s="19">
        <v>1012</v>
      </c>
      <c r="C54" s="11">
        <v>-20932.5</v>
      </c>
      <c r="D54" s="11">
        <v>-37053.800000000003</v>
      </c>
      <c r="E54" s="11">
        <v>-33959.9</v>
      </c>
      <c r="F54" s="11">
        <f t="shared" si="1"/>
        <v>-45294.2</v>
      </c>
      <c r="G54" s="11">
        <v>-10290.5</v>
      </c>
      <c r="H54" s="11">
        <v>-12406.2</v>
      </c>
      <c r="I54" s="11">
        <v>-11296.7</v>
      </c>
      <c r="J54" s="11">
        <v>-11300.8</v>
      </c>
      <c r="K54" s="11"/>
      <c r="L54" s="134"/>
    </row>
    <row r="55" spans="1:17" ht="29.25" customHeight="1">
      <c r="A55" s="123" t="s">
        <v>2</v>
      </c>
      <c r="B55" s="19">
        <v>1013</v>
      </c>
      <c r="C55" s="11">
        <v>-4417.2</v>
      </c>
      <c r="D55" s="11">
        <v>-7278.1</v>
      </c>
      <c r="E55" s="11">
        <v>-7306.9</v>
      </c>
      <c r="F55" s="11">
        <f t="shared" si="1"/>
        <v>-9477.2999999999993</v>
      </c>
      <c r="G55" s="11">
        <v>-2160.4</v>
      </c>
      <c r="H55" s="11">
        <v>-2602.1</v>
      </c>
      <c r="I55" s="11">
        <v>-2360.4</v>
      </c>
      <c r="J55" s="11">
        <v>-2354.4</v>
      </c>
      <c r="K55" s="11"/>
      <c r="L55" s="134"/>
      <c r="M55" s="224">
        <f>F55/F54</f>
        <v>0.20923871047507187</v>
      </c>
      <c r="N55" s="224">
        <f t="shared" ref="N55:Q55" si="2">G55/G54</f>
        <v>0.20994120791020845</v>
      </c>
      <c r="O55" s="224">
        <f t="shared" si="2"/>
        <v>0.2097419032419274</v>
      </c>
      <c r="P55" s="224">
        <f t="shared" si="2"/>
        <v>0.20894597537333912</v>
      </c>
      <c r="Q55" s="224">
        <f t="shared" si="2"/>
        <v>0.20833923262069945</v>
      </c>
    </row>
    <row r="56" spans="1:17" ht="29.25" customHeight="1">
      <c r="A56" s="123" t="s">
        <v>3</v>
      </c>
      <c r="B56" s="19">
        <v>1014</v>
      </c>
      <c r="C56" s="11" t="s">
        <v>68</v>
      </c>
      <c r="D56" s="11">
        <f>-'Розшифровка 2 до формування'!E231</f>
        <v>0</v>
      </c>
      <c r="E56" s="11">
        <f>-'Розшифровка 2 до формування'!F231</f>
        <v>0</v>
      </c>
      <c r="F56" s="11">
        <f t="shared" si="1"/>
        <v>0</v>
      </c>
      <c r="G56" s="11" t="s">
        <v>68</v>
      </c>
      <c r="H56" s="11" t="s">
        <v>68</v>
      </c>
      <c r="I56" s="11" t="s">
        <v>68</v>
      </c>
      <c r="J56" s="11" t="s">
        <v>68</v>
      </c>
      <c r="K56" s="11"/>
      <c r="L56" s="134"/>
    </row>
    <row r="57" spans="1:17" ht="30" customHeight="1">
      <c r="A57" s="123" t="s">
        <v>114</v>
      </c>
      <c r="B57" s="19">
        <v>1015</v>
      </c>
      <c r="C57" s="11">
        <v>-123</v>
      </c>
      <c r="D57" s="11">
        <v>-124.2</v>
      </c>
      <c r="E57" s="11">
        <v>-4.0999999999999996</v>
      </c>
      <c r="F57" s="11">
        <f t="shared" si="1"/>
        <v>-29</v>
      </c>
      <c r="G57" s="11">
        <f>-'Розшифровка 2 до формування'!H232</f>
        <v>0</v>
      </c>
      <c r="H57" s="11">
        <v>-14.5</v>
      </c>
      <c r="I57" s="11">
        <v>-14.5</v>
      </c>
      <c r="J57" s="11">
        <f>-'Розшифровка 2 до формування'!K232</f>
        <v>0</v>
      </c>
      <c r="K57" s="11"/>
      <c r="L57" s="134"/>
    </row>
    <row r="58" spans="1:17" ht="28.5" customHeight="1">
      <c r="A58" s="186" t="s">
        <v>67</v>
      </c>
      <c r="B58" s="19">
        <v>1020</v>
      </c>
      <c r="C58" s="9">
        <f>SUM(C51:C52)</f>
        <v>-15577.799999999996</v>
      </c>
      <c r="D58" s="9">
        <f>SUM(D51:D52)</f>
        <v>-2468.1999999999971</v>
      </c>
      <c r="E58" s="9">
        <f>SUM(E51:E52)</f>
        <v>-12856.600000000006</v>
      </c>
      <c r="F58" s="9">
        <f>SUM(G58:J58)</f>
        <v>2586.4999999999964</v>
      </c>
      <c r="G58" s="9">
        <f>SUM(G51:G52)</f>
        <v>-62.80000000000291</v>
      </c>
      <c r="H58" s="9">
        <f>SUM(H51:H52)</f>
        <v>-397.79999999999927</v>
      </c>
      <c r="I58" s="9">
        <f>SUM(I51:I52)</f>
        <v>932.70000000000073</v>
      </c>
      <c r="J58" s="9">
        <f>SUM(J51:J52)</f>
        <v>2114.3999999999978</v>
      </c>
      <c r="K58" s="9">
        <f>SUM(K51:K52)</f>
        <v>0</v>
      </c>
      <c r="L58" s="134"/>
    </row>
    <row r="59" spans="1:17" ht="40.5" customHeight="1">
      <c r="A59" s="186" t="s">
        <v>183</v>
      </c>
      <c r="B59" s="187">
        <v>1020</v>
      </c>
      <c r="C59" s="9">
        <f>SUM(C60:C64)</f>
        <v>-13509</v>
      </c>
      <c r="D59" s="9">
        <f>SUM(D60:D64)</f>
        <v>-15470.900000000001</v>
      </c>
      <c r="E59" s="9">
        <f>SUM(E60:E64)</f>
        <v>-16983.7</v>
      </c>
      <c r="F59" s="9">
        <f t="shared" si="1"/>
        <v>-18978.8</v>
      </c>
      <c r="G59" s="9">
        <f>SUM(G60:G64)</f>
        <v>-6041.7</v>
      </c>
      <c r="H59" s="9">
        <f t="shared" ref="H59:J59" si="3">SUM(H60:H64)</f>
        <v>-3674.5</v>
      </c>
      <c r="I59" s="9">
        <f t="shared" si="3"/>
        <v>-3459.8999999999996</v>
      </c>
      <c r="J59" s="9">
        <f t="shared" si="3"/>
        <v>-5802.7</v>
      </c>
      <c r="K59" s="11"/>
      <c r="L59" s="134"/>
    </row>
    <row r="60" spans="1:17" ht="27.75" customHeight="1">
      <c r="A60" s="123" t="s">
        <v>155</v>
      </c>
      <c r="B60" s="19">
        <v>1021</v>
      </c>
      <c r="C60" s="11">
        <v>-1198.9000000000001</v>
      </c>
      <c r="D60" s="11">
        <v>-1687.4</v>
      </c>
      <c r="E60" s="11">
        <v>-1365.9</v>
      </c>
      <c r="F60" s="11">
        <f t="shared" si="1"/>
        <v>-650.5</v>
      </c>
      <c r="G60" s="11">
        <v>-306.5</v>
      </c>
      <c r="H60" s="11">
        <v>-122.3</v>
      </c>
      <c r="I60" s="11">
        <v>-94.2</v>
      </c>
      <c r="J60" s="11">
        <v>-127.5</v>
      </c>
      <c r="K60" s="11"/>
      <c r="L60" s="134" t="s">
        <v>500</v>
      </c>
    </row>
    <row r="61" spans="1:17" ht="27.75" customHeight="1">
      <c r="A61" s="123" t="s">
        <v>1</v>
      </c>
      <c r="B61" s="19">
        <v>1022</v>
      </c>
      <c r="C61" s="11">
        <v>-4918.6000000000004</v>
      </c>
      <c r="D61" s="11">
        <v>-5905.6</v>
      </c>
      <c r="E61" s="11">
        <v>-5408.1</v>
      </c>
      <c r="F61" s="11">
        <f t="shared" si="1"/>
        <v>-5905.6</v>
      </c>
      <c r="G61" s="11">
        <v>-1833</v>
      </c>
      <c r="H61" s="11">
        <v>-1115.8</v>
      </c>
      <c r="I61" s="11">
        <v>-1123.8</v>
      </c>
      <c r="J61" s="11">
        <v>-1833</v>
      </c>
      <c r="K61" s="11"/>
      <c r="L61" s="134"/>
    </row>
    <row r="62" spans="1:17" ht="27.75" customHeight="1">
      <c r="A62" s="123" t="s">
        <v>2</v>
      </c>
      <c r="B62" s="19">
        <v>1023</v>
      </c>
      <c r="C62" s="11">
        <v>-1046</v>
      </c>
      <c r="D62" s="11">
        <v>-1256</v>
      </c>
      <c r="E62" s="11">
        <v>-1041</v>
      </c>
      <c r="F62" s="11">
        <f t="shared" si="1"/>
        <v>-1256</v>
      </c>
      <c r="G62" s="11">
        <v>-389</v>
      </c>
      <c r="H62" s="11">
        <v>-241.4</v>
      </c>
      <c r="I62" s="11">
        <v>-236.6</v>
      </c>
      <c r="J62" s="11">
        <v>-389</v>
      </c>
      <c r="K62" s="11"/>
      <c r="L62" s="134"/>
      <c r="M62" s="224">
        <f>F62/F61</f>
        <v>0.21267949065293956</v>
      </c>
      <c r="N62" s="224">
        <f t="shared" ref="N62:Q62" si="4">G62/G61</f>
        <v>0.21222040370976542</v>
      </c>
      <c r="O62" s="224">
        <f t="shared" si="4"/>
        <v>0.21634701559419253</v>
      </c>
      <c r="P62" s="224">
        <f t="shared" si="4"/>
        <v>0.21053568250578394</v>
      </c>
      <c r="Q62" s="224">
        <f t="shared" si="4"/>
        <v>0.21222040370976542</v>
      </c>
    </row>
    <row r="63" spans="1:17" ht="27.75" customHeight="1">
      <c r="A63" s="123" t="s">
        <v>3</v>
      </c>
      <c r="B63" s="19">
        <v>1024</v>
      </c>
      <c r="C63" s="11">
        <v>-1450.2</v>
      </c>
      <c r="D63" s="11">
        <v>-1450.2</v>
      </c>
      <c r="E63" s="11">
        <v>-3048.4</v>
      </c>
      <c r="F63" s="11">
        <f t="shared" si="1"/>
        <v>-2652</v>
      </c>
      <c r="G63" s="11">
        <v>-663</v>
      </c>
      <c r="H63" s="11">
        <v>-663</v>
      </c>
      <c r="I63" s="11">
        <v>-663</v>
      </c>
      <c r="J63" s="11">
        <v>-663</v>
      </c>
      <c r="K63" s="11"/>
      <c r="L63" s="134"/>
    </row>
    <row r="64" spans="1:17" ht="27.75" customHeight="1">
      <c r="A64" s="123" t="s">
        <v>157</v>
      </c>
      <c r="B64" s="19">
        <v>1025</v>
      </c>
      <c r="C64" s="11">
        <v>-4895.3</v>
      </c>
      <c r="D64" s="11">
        <v>-5171.7</v>
      </c>
      <c r="E64" s="11">
        <v>-6120.3</v>
      </c>
      <c r="F64" s="11">
        <f t="shared" si="1"/>
        <v>-8514.7000000000007</v>
      </c>
      <c r="G64" s="11">
        <v>-2850.2</v>
      </c>
      <c r="H64" s="11">
        <v>-1532</v>
      </c>
      <c r="I64" s="11">
        <v>-1342.3</v>
      </c>
      <c r="J64" s="11">
        <v>-2790.2</v>
      </c>
      <c r="K64" s="11"/>
      <c r="L64" s="134" t="s">
        <v>500</v>
      </c>
    </row>
    <row r="65" spans="1:17" ht="34.5" customHeight="1">
      <c r="A65" s="186" t="s">
        <v>86</v>
      </c>
      <c r="B65" s="187">
        <v>1040</v>
      </c>
      <c r="C65" s="9">
        <f>SUM(C66:C67)</f>
        <v>28129.8</v>
      </c>
      <c r="D65" s="9">
        <f>SUM(D66:D67)</f>
        <v>17211.5</v>
      </c>
      <c r="E65" s="9">
        <f>SUM(E66:E67)</f>
        <v>27234.1</v>
      </c>
      <c r="F65" s="9">
        <f t="shared" si="1"/>
        <v>14462.900000000001</v>
      </c>
      <c r="G65" s="9">
        <f>SUM(G66:G67)</f>
        <v>5594.7</v>
      </c>
      <c r="H65" s="9">
        <f>SUM(H66:H67)</f>
        <v>3562.5</v>
      </c>
      <c r="I65" s="9">
        <f>SUM(I66:I67)</f>
        <v>2127.1999999999998</v>
      </c>
      <c r="J65" s="9">
        <f>SUM(J66:J67)</f>
        <v>3178.5</v>
      </c>
      <c r="K65" s="11"/>
      <c r="L65" s="134"/>
    </row>
    <row r="66" spans="1:17" ht="27.75" customHeight="1">
      <c r="A66" s="123" t="s">
        <v>87</v>
      </c>
      <c r="B66" s="19">
        <v>1041</v>
      </c>
      <c r="C66" s="11"/>
      <c r="D66" s="11"/>
      <c r="E66" s="11"/>
      <c r="F66" s="11">
        <f t="shared" si="1"/>
        <v>0</v>
      </c>
      <c r="G66" s="11"/>
      <c r="H66" s="11"/>
      <c r="I66" s="11"/>
      <c r="J66" s="11"/>
      <c r="K66" s="11"/>
      <c r="L66" s="134"/>
    </row>
    <row r="67" spans="1:17" ht="27.75" customHeight="1">
      <c r="A67" s="123" t="s">
        <v>88</v>
      </c>
      <c r="B67" s="19">
        <v>1042</v>
      </c>
      <c r="C67" s="11">
        <v>28129.8</v>
      </c>
      <c r="D67" s="11">
        <v>17211.5</v>
      </c>
      <c r="E67" s="11">
        <v>27234.1</v>
      </c>
      <c r="F67" s="11">
        <f t="shared" si="1"/>
        <v>14462.900000000001</v>
      </c>
      <c r="G67" s="11">
        <v>5594.7</v>
      </c>
      <c r="H67" s="11">
        <v>3562.5</v>
      </c>
      <c r="I67" s="11">
        <v>2127.1999999999998</v>
      </c>
      <c r="J67" s="11">
        <v>3178.5</v>
      </c>
      <c r="K67" s="11"/>
      <c r="L67" s="134"/>
    </row>
    <row r="68" spans="1:17" ht="38.25" customHeight="1">
      <c r="A68" s="186" t="s">
        <v>30</v>
      </c>
      <c r="B68" s="187">
        <v>1030</v>
      </c>
      <c r="C68" s="9">
        <f>SUM(C69:C73)</f>
        <v>-493.20000000000005</v>
      </c>
      <c r="D68" s="9">
        <f>SUM(D69:D73)</f>
        <v>-722.6</v>
      </c>
      <c r="E68" s="9">
        <f>SUM(E69:E73)</f>
        <v>-442.2</v>
      </c>
      <c r="F68" s="9">
        <f t="shared" si="1"/>
        <v>-722.59999999999991</v>
      </c>
      <c r="G68" s="9">
        <f>SUM(G69:G73)</f>
        <v>-153.19999999999999</v>
      </c>
      <c r="H68" s="9">
        <f>SUM(H69:H73)</f>
        <v>-153.19999999999999</v>
      </c>
      <c r="I68" s="9">
        <f>SUM(I69:I73)</f>
        <v>-263</v>
      </c>
      <c r="J68" s="9">
        <f>SUM(J69:J73)</f>
        <v>-153.19999999999999</v>
      </c>
      <c r="K68" s="11"/>
      <c r="L68" s="134"/>
    </row>
    <row r="69" spans="1:17" ht="42.75" customHeight="1">
      <c r="A69" s="123" t="s">
        <v>267</v>
      </c>
      <c r="B69" s="19">
        <v>1031</v>
      </c>
      <c r="C69" s="11">
        <v>0</v>
      </c>
      <c r="D69" s="11" t="s">
        <v>68</v>
      </c>
      <c r="E69" s="11" t="s">
        <v>68</v>
      </c>
      <c r="F69" s="11">
        <f t="shared" si="1"/>
        <v>0</v>
      </c>
      <c r="G69" s="11" t="s">
        <v>250</v>
      </c>
      <c r="H69" s="11" t="s">
        <v>68</v>
      </c>
      <c r="I69" s="11" t="s">
        <v>68</v>
      </c>
      <c r="J69" s="11" t="s">
        <v>68</v>
      </c>
      <c r="K69" s="11"/>
      <c r="L69" s="134"/>
    </row>
    <row r="70" spans="1:17" ht="27.75" customHeight="1">
      <c r="A70" s="123" t="s">
        <v>1</v>
      </c>
      <c r="B70" s="19">
        <v>1032</v>
      </c>
      <c r="C70" s="11">
        <v>-385.6</v>
      </c>
      <c r="D70" s="11">
        <v>-595</v>
      </c>
      <c r="E70" s="11">
        <v>-363.5</v>
      </c>
      <c r="F70" s="11">
        <f t="shared" si="1"/>
        <v>-595</v>
      </c>
      <c r="G70" s="11">
        <v>-126.6</v>
      </c>
      <c r="H70" s="11">
        <v>-126.6</v>
      </c>
      <c r="I70" s="11">
        <v>-215.2</v>
      </c>
      <c r="J70" s="11">
        <v>-126.6</v>
      </c>
      <c r="K70" s="11"/>
      <c r="L70" s="134"/>
    </row>
    <row r="71" spans="1:17" ht="27.75" customHeight="1">
      <c r="A71" s="123" t="s">
        <v>2</v>
      </c>
      <c r="B71" s="19">
        <v>1033</v>
      </c>
      <c r="C71" s="11">
        <v>-83.1</v>
      </c>
      <c r="D71" s="11">
        <v>-127.6</v>
      </c>
      <c r="E71" s="11">
        <v>-78.7</v>
      </c>
      <c r="F71" s="11">
        <f t="shared" si="1"/>
        <v>-127.6</v>
      </c>
      <c r="G71" s="11">
        <v>-26.6</v>
      </c>
      <c r="H71" s="11">
        <v>-26.6</v>
      </c>
      <c r="I71" s="11">
        <v>-47.8</v>
      </c>
      <c r="J71" s="11">
        <v>-26.6</v>
      </c>
      <c r="K71" s="11"/>
      <c r="L71" s="134"/>
      <c r="M71" s="224">
        <f>F71/F70</f>
        <v>0.21445378151260502</v>
      </c>
      <c r="N71" s="224">
        <f t="shared" ref="N71:Q71" si="5">G71/G70</f>
        <v>0.21011058451816747</v>
      </c>
      <c r="O71" s="224">
        <f t="shared" si="5"/>
        <v>0.21011058451816747</v>
      </c>
      <c r="P71" s="224">
        <f t="shared" si="5"/>
        <v>0.22211895910780668</v>
      </c>
      <c r="Q71" s="224">
        <f t="shared" si="5"/>
        <v>0.21011058451816747</v>
      </c>
    </row>
    <row r="72" spans="1:17" ht="27.75" customHeight="1">
      <c r="A72" s="123" t="s">
        <v>3</v>
      </c>
      <c r="B72" s="19">
        <v>1034</v>
      </c>
      <c r="C72" s="11" t="s">
        <v>68</v>
      </c>
      <c r="D72" s="11" t="s">
        <v>68</v>
      </c>
      <c r="E72" s="11" t="s">
        <v>68</v>
      </c>
      <c r="F72" s="11">
        <f t="shared" si="1"/>
        <v>0</v>
      </c>
      <c r="G72" s="11" t="s">
        <v>68</v>
      </c>
      <c r="H72" s="11" t="s">
        <v>68</v>
      </c>
      <c r="I72" s="11" t="s">
        <v>68</v>
      </c>
      <c r="J72" s="11" t="s">
        <v>68</v>
      </c>
      <c r="K72" s="11"/>
      <c r="L72" s="134"/>
    </row>
    <row r="73" spans="1:17" ht="27.75" customHeight="1">
      <c r="A73" s="123" t="s">
        <v>162</v>
      </c>
      <c r="B73" s="19">
        <v>1035</v>
      </c>
      <c r="C73" s="11">
        <v>-24.5</v>
      </c>
      <c r="D73" s="11" t="s">
        <v>68</v>
      </c>
      <c r="E73" s="11" t="s">
        <v>68</v>
      </c>
      <c r="F73" s="11">
        <f>SUM(G73:J73)</f>
        <v>0</v>
      </c>
      <c r="G73" s="11" t="s">
        <v>68</v>
      </c>
      <c r="H73" s="11" t="s">
        <v>68</v>
      </c>
      <c r="I73" s="11" t="s">
        <v>68</v>
      </c>
      <c r="J73" s="11" t="s">
        <v>68</v>
      </c>
      <c r="K73" s="11"/>
      <c r="L73" s="134"/>
    </row>
    <row r="74" spans="1:17" ht="47.25" customHeight="1">
      <c r="A74" s="186" t="s">
        <v>0</v>
      </c>
      <c r="B74" s="19">
        <v>1100</v>
      </c>
      <c r="C74" s="9">
        <f>SUM(C58,C59,C65,C68)</f>
        <v>-1450.1999999999964</v>
      </c>
      <c r="D74" s="9">
        <v>-1450.2</v>
      </c>
      <c r="E74" s="9">
        <v>-3048.4</v>
      </c>
      <c r="F74" s="9">
        <f>SUM(G74:J74)</f>
        <v>-2652.0000000000036</v>
      </c>
      <c r="G74" s="9">
        <f>SUM(G58,G59,G65,G68)</f>
        <v>-663.00000000000296</v>
      </c>
      <c r="H74" s="9">
        <f t="shared" ref="H74:J74" si="6">SUM(H58,H59,H65,H68)</f>
        <v>-662.99999999999932</v>
      </c>
      <c r="I74" s="9">
        <f t="shared" si="6"/>
        <v>-662.99999999999909</v>
      </c>
      <c r="J74" s="9">
        <f t="shared" si="6"/>
        <v>-663.00000000000205</v>
      </c>
      <c r="K74" s="9">
        <f>SUM(K58:K68)</f>
        <v>0</v>
      </c>
      <c r="L74" s="134"/>
    </row>
    <row r="75" spans="1:17" ht="27.75" customHeight="1">
      <c r="A75" s="186" t="s">
        <v>158</v>
      </c>
      <c r="B75" s="187">
        <v>1130</v>
      </c>
      <c r="C75" s="9"/>
      <c r="D75" s="9"/>
      <c r="E75" s="9"/>
      <c r="F75" s="9">
        <f t="shared" si="1"/>
        <v>0</v>
      </c>
      <c r="G75" s="9"/>
      <c r="H75" s="9"/>
      <c r="I75" s="9"/>
      <c r="J75" s="9"/>
      <c r="K75" s="11"/>
      <c r="L75" s="134"/>
    </row>
    <row r="76" spans="1:17" ht="27.75" customHeight="1">
      <c r="A76" s="188" t="s">
        <v>159</v>
      </c>
      <c r="B76" s="187">
        <v>1140</v>
      </c>
      <c r="C76" s="9" t="s">
        <v>68</v>
      </c>
      <c r="D76" s="9" t="s">
        <v>68</v>
      </c>
      <c r="E76" s="9" t="s">
        <v>68</v>
      </c>
      <c r="F76" s="9">
        <f t="shared" si="1"/>
        <v>0</v>
      </c>
      <c r="G76" s="11" t="s">
        <v>68</v>
      </c>
      <c r="H76" s="11" t="s">
        <v>68</v>
      </c>
      <c r="I76" s="11" t="s">
        <v>68</v>
      </c>
      <c r="J76" s="11" t="s">
        <v>68</v>
      </c>
      <c r="K76" s="11"/>
      <c r="L76" s="134"/>
    </row>
    <row r="77" spans="1:17" ht="27.75" customHeight="1">
      <c r="A77" s="186" t="s">
        <v>160</v>
      </c>
      <c r="B77" s="187">
        <v>1150</v>
      </c>
      <c r="C77" s="9">
        <v>1450.2</v>
      </c>
      <c r="D77" s="9">
        <v>1450.2</v>
      </c>
      <c r="E77" s="9">
        <v>3048.4</v>
      </c>
      <c r="F77" s="9">
        <f>G77+H77+I77+J77</f>
        <v>2652</v>
      </c>
      <c r="G77" s="9">
        <v>663</v>
      </c>
      <c r="H77" s="9">
        <v>663</v>
      </c>
      <c r="I77" s="9">
        <v>663</v>
      </c>
      <c r="J77" s="9">
        <v>663</v>
      </c>
      <c r="K77" s="11"/>
      <c r="L77" s="134"/>
    </row>
    <row r="78" spans="1:17" ht="27.75" customHeight="1">
      <c r="A78" s="186" t="s">
        <v>161</v>
      </c>
      <c r="B78" s="187">
        <v>1160</v>
      </c>
      <c r="C78" s="9" t="s">
        <v>68</v>
      </c>
      <c r="D78" s="9" t="s">
        <v>68</v>
      </c>
      <c r="E78" s="9" t="s">
        <v>68</v>
      </c>
      <c r="F78" s="9">
        <f t="shared" si="1"/>
        <v>0</v>
      </c>
      <c r="G78" s="11" t="s">
        <v>68</v>
      </c>
      <c r="H78" s="11" t="s">
        <v>68</v>
      </c>
      <c r="I78" s="11" t="s">
        <v>68</v>
      </c>
      <c r="J78" s="11" t="s">
        <v>68</v>
      </c>
      <c r="K78" s="11"/>
      <c r="L78" s="134"/>
    </row>
    <row r="79" spans="1:17" ht="28.5" customHeight="1">
      <c r="A79" s="186" t="s">
        <v>34</v>
      </c>
      <c r="B79" s="187">
        <v>1170</v>
      </c>
      <c r="C79" s="9">
        <v>0</v>
      </c>
      <c r="D79" s="9">
        <f>SUM(D74, D75:D78)</f>
        <v>0</v>
      </c>
      <c r="E79" s="189">
        <v>0</v>
      </c>
      <c r="F79" s="189">
        <v>0</v>
      </c>
      <c r="G79" s="189">
        <f>ROUND(SUM(G74, G75:G78),1)</f>
        <v>0</v>
      </c>
      <c r="H79" s="189">
        <f t="shared" ref="H79:J79" si="7">ROUND(SUM(H74, H75:H78),1)</f>
        <v>0</v>
      </c>
      <c r="I79" s="189">
        <f t="shared" si="7"/>
        <v>0</v>
      </c>
      <c r="J79" s="189">
        <f t="shared" si="7"/>
        <v>0</v>
      </c>
      <c r="K79" s="9">
        <f>SUM(K74, K75:K78)</f>
        <v>0</v>
      </c>
      <c r="L79" s="134"/>
    </row>
    <row r="80" spans="1:17" ht="27.75" customHeight="1">
      <c r="A80" s="188" t="s">
        <v>70</v>
      </c>
      <c r="B80" s="19">
        <v>1180</v>
      </c>
      <c r="C80" s="11" t="s">
        <v>68</v>
      </c>
      <c r="D80" s="11" t="s">
        <v>68</v>
      </c>
      <c r="E80" s="190" t="s">
        <v>68</v>
      </c>
      <c r="F80" s="190">
        <f t="shared" si="1"/>
        <v>0</v>
      </c>
      <c r="G80" s="190" t="s">
        <v>68</v>
      </c>
      <c r="H80" s="190" t="s">
        <v>68</v>
      </c>
      <c r="I80" s="190" t="s">
        <v>68</v>
      </c>
      <c r="J80" s="190" t="s">
        <v>68</v>
      </c>
      <c r="K80" s="11"/>
      <c r="L80" s="134"/>
    </row>
    <row r="81" spans="1:20" ht="27" customHeight="1">
      <c r="A81" s="188" t="s">
        <v>71</v>
      </c>
      <c r="B81" s="19">
        <v>1181</v>
      </c>
      <c r="C81" s="11"/>
      <c r="D81" s="11"/>
      <c r="E81" s="190"/>
      <c r="F81" s="190">
        <f t="shared" si="1"/>
        <v>0</v>
      </c>
      <c r="G81" s="190"/>
      <c r="H81" s="190"/>
      <c r="I81" s="190"/>
      <c r="J81" s="190"/>
      <c r="K81" s="11"/>
      <c r="L81" s="134"/>
    </row>
    <row r="82" spans="1:20" ht="28.5" customHeight="1">
      <c r="A82" s="186" t="s">
        <v>108</v>
      </c>
      <c r="B82" s="19">
        <v>1200</v>
      </c>
      <c r="C82" s="9">
        <v>0</v>
      </c>
      <c r="D82" s="9">
        <v>0</v>
      </c>
      <c r="E82" s="189">
        <f>SUM(E79:E81)</f>
        <v>0</v>
      </c>
      <c r="F82" s="190">
        <f>SUM(G82:J82)</f>
        <v>0</v>
      </c>
      <c r="G82" s="189">
        <v>0</v>
      </c>
      <c r="H82" s="189">
        <v>0</v>
      </c>
      <c r="I82" s="189">
        <v>0</v>
      </c>
      <c r="J82" s="189">
        <f>SUM(J79:J81)</f>
        <v>0</v>
      </c>
      <c r="K82" s="9">
        <f>SUM(K79:K81)</f>
        <v>0</v>
      </c>
      <c r="L82" s="134"/>
    </row>
    <row r="83" spans="1:20" ht="35.25" customHeight="1">
      <c r="A83" s="188" t="s">
        <v>111</v>
      </c>
      <c r="B83" s="19">
        <v>1201</v>
      </c>
      <c r="C83" s="11"/>
      <c r="D83" s="11"/>
      <c r="E83" s="190"/>
      <c r="F83" s="190">
        <f t="shared" si="1"/>
        <v>0</v>
      </c>
      <c r="G83" s="190"/>
      <c r="H83" s="190"/>
      <c r="I83" s="190"/>
      <c r="J83" s="190"/>
      <c r="K83" s="11"/>
      <c r="L83" s="134"/>
    </row>
    <row r="84" spans="1:20" ht="33" customHeight="1">
      <c r="A84" s="188" t="s">
        <v>112</v>
      </c>
      <c r="B84" s="19">
        <v>1202</v>
      </c>
      <c r="C84" s="11" t="s">
        <v>68</v>
      </c>
      <c r="D84" s="11" t="s">
        <v>68</v>
      </c>
      <c r="E84" s="190" t="s">
        <v>68</v>
      </c>
      <c r="F84" s="190">
        <f t="shared" si="1"/>
        <v>0</v>
      </c>
      <c r="G84" s="190" t="s">
        <v>68</v>
      </c>
      <c r="H84" s="190" t="s">
        <v>68</v>
      </c>
      <c r="I84" s="190" t="s">
        <v>68</v>
      </c>
      <c r="J84" s="190" t="s">
        <v>68</v>
      </c>
      <c r="K84" s="11"/>
      <c r="L84" s="134"/>
    </row>
    <row r="85" spans="1:20" ht="33" customHeight="1">
      <c r="A85" s="186" t="s">
        <v>213</v>
      </c>
      <c r="B85" s="187">
        <v>1210</v>
      </c>
      <c r="C85" s="9">
        <f>SUM(C51,C65,C75,C77,C81)</f>
        <v>56717.099999999991</v>
      </c>
      <c r="D85" s="9">
        <f>SUM(D51,D65,D75,D77,D81)</f>
        <v>80700.599999999991</v>
      </c>
      <c r="E85" s="9">
        <f>SUM(E51,E65,E75,E77,E81)</f>
        <v>87746</v>
      </c>
      <c r="F85" s="9">
        <f>SUM(G85:J85)</f>
        <v>103241.9</v>
      </c>
      <c r="G85" s="9">
        <f>SUM(G51,G65,G75,G77,G81)</f>
        <v>28380.799999999999</v>
      </c>
      <c r="H85" s="9">
        <f>SUM(H51,H65,H75,H77,H81)</f>
        <v>26267.399999999998</v>
      </c>
      <c r="I85" s="9">
        <f>SUM(I51,I65,I75,I77,I81)</f>
        <v>22739.800000000003</v>
      </c>
      <c r="J85" s="9">
        <f>SUM(J51,J65,J75,J77,J81)</f>
        <v>25853.899999999998</v>
      </c>
      <c r="K85" s="11"/>
      <c r="L85" s="134"/>
    </row>
    <row r="86" spans="1:20" ht="33" customHeight="1">
      <c r="A86" s="186" t="s">
        <v>214</v>
      </c>
      <c r="B86" s="187">
        <v>1220</v>
      </c>
      <c r="C86" s="9">
        <f>SUM(C52,C59,C68,C76,C78,C80)</f>
        <v>-56717.099999999991</v>
      </c>
      <c r="D86" s="9">
        <f>SUM(D52,D59,D68,D76,D78,D80)</f>
        <v>-80700.600000000006</v>
      </c>
      <c r="E86" s="9">
        <f>SUM(E52,E59,E68,E76,E78,E80)</f>
        <v>-87746</v>
      </c>
      <c r="F86" s="9">
        <f>SUM(G86:J86)</f>
        <v>-103241.9</v>
      </c>
      <c r="G86" s="9">
        <f>SUM(G52,G59,G68,G76,G78,G80)</f>
        <v>-28380.800000000003</v>
      </c>
      <c r="H86" s="9">
        <f>SUM(H52,H59,H68,H76,H78,H80)</f>
        <v>-26267.399999999998</v>
      </c>
      <c r="I86" s="9">
        <f>SUM(I52,I59,I68,I76,I78,I80)</f>
        <v>-22739.800000000003</v>
      </c>
      <c r="J86" s="9">
        <f>SUM(J52,J59,J68,J76,J78,J80)</f>
        <v>-25853.9</v>
      </c>
      <c r="K86" s="11"/>
      <c r="L86" s="134"/>
    </row>
    <row r="87" spans="1:20" ht="33" customHeight="1">
      <c r="A87" s="191" t="s">
        <v>58</v>
      </c>
      <c r="B87" s="8"/>
      <c r="C87" s="9"/>
      <c r="D87" s="9"/>
      <c r="E87" s="9"/>
      <c r="F87" s="9"/>
      <c r="G87" s="9"/>
      <c r="H87" s="9"/>
      <c r="I87" s="9"/>
      <c r="J87" s="9"/>
      <c r="K87" s="11"/>
      <c r="L87" s="134"/>
    </row>
    <row r="88" spans="1:20" ht="33" customHeight="1">
      <c r="A88" s="123" t="s">
        <v>129</v>
      </c>
      <c r="B88" s="10">
        <v>9000</v>
      </c>
      <c r="C88" s="11">
        <v>18441.099999999999</v>
      </c>
      <c r="D88" s="11">
        <v>21738.400000000001</v>
      </c>
      <c r="E88" s="11">
        <v>30415.1</v>
      </c>
      <c r="F88" s="11">
        <f t="shared" ref="F88:F92" si="8">SUM(G88:J88)</f>
        <v>29390.5</v>
      </c>
      <c r="G88" s="11">
        <v>10041.5</v>
      </c>
      <c r="H88" s="11">
        <v>7539.2</v>
      </c>
      <c r="I88" s="11">
        <v>5439.5</v>
      </c>
      <c r="J88" s="11">
        <v>6370.3</v>
      </c>
      <c r="K88" s="11"/>
      <c r="L88" s="134"/>
    </row>
    <row r="89" spans="1:20" ht="33" customHeight="1">
      <c r="A89" s="123" t="s">
        <v>1</v>
      </c>
      <c r="B89" s="10">
        <v>9010</v>
      </c>
      <c r="C89" s="121">
        <v>26236.7</v>
      </c>
      <c r="D89" s="121">
        <v>43554.400000000001</v>
      </c>
      <c r="E89" s="121">
        <v>39731.5</v>
      </c>
      <c r="F89" s="121">
        <f t="shared" si="8"/>
        <v>51794.8</v>
      </c>
      <c r="G89" s="121">
        <v>12250.1</v>
      </c>
      <c r="H89" s="121">
        <v>13648.6</v>
      </c>
      <c r="I89" s="121">
        <v>12635.7</v>
      </c>
      <c r="J89" s="121">
        <v>13260.4</v>
      </c>
      <c r="K89" s="11"/>
      <c r="L89" s="134"/>
    </row>
    <row r="90" spans="1:20" ht="33" customHeight="1">
      <c r="A90" s="123" t="s">
        <v>2</v>
      </c>
      <c r="B90" s="10">
        <v>9020</v>
      </c>
      <c r="C90" s="121">
        <v>5546.3</v>
      </c>
      <c r="D90" s="121">
        <v>8661.7000000000007</v>
      </c>
      <c r="E90" s="121">
        <v>8426.6</v>
      </c>
      <c r="F90" s="121">
        <f t="shared" si="8"/>
        <v>10860.900000000001</v>
      </c>
      <c r="G90" s="121">
        <v>2576</v>
      </c>
      <c r="H90" s="121">
        <v>2870.1</v>
      </c>
      <c r="I90" s="121">
        <v>2644.8</v>
      </c>
      <c r="J90" s="121">
        <v>2770</v>
      </c>
      <c r="K90" s="11"/>
      <c r="L90" s="134">
        <f>C89*22%</f>
        <v>5772.0740000000005</v>
      </c>
      <c r="M90" s="134">
        <f t="shared" ref="M90:S90" si="9">D89*22%</f>
        <v>9581.9680000000008</v>
      </c>
      <c r="N90" s="134">
        <f t="shared" si="9"/>
        <v>8740.93</v>
      </c>
      <c r="O90" s="134">
        <f t="shared" si="9"/>
        <v>11394.856000000002</v>
      </c>
      <c r="P90" s="134">
        <f t="shared" si="9"/>
        <v>2695.0219999999999</v>
      </c>
      <c r="Q90" s="134">
        <f t="shared" si="9"/>
        <v>3002.692</v>
      </c>
      <c r="R90" s="134">
        <f t="shared" si="9"/>
        <v>2779.8540000000003</v>
      </c>
      <c r="S90" s="134">
        <f t="shared" si="9"/>
        <v>2917.288</v>
      </c>
      <c r="T90" s="134"/>
    </row>
    <row r="91" spans="1:20" ht="33" customHeight="1">
      <c r="A91" s="123" t="s">
        <v>3</v>
      </c>
      <c r="B91" s="10">
        <v>9030</v>
      </c>
      <c r="C91" s="11">
        <v>1450.2</v>
      </c>
      <c r="D91" s="121">
        <v>1450.2</v>
      </c>
      <c r="E91" s="121">
        <v>3048.4</v>
      </c>
      <c r="F91" s="11">
        <f>SUM(G91:J91)</f>
        <v>2652</v>
      </c>
      <c r="G91" s="121">
        <v>663</v>
      </c>
      <c r="H91" s="11">
        <v>663</v>
      </c>
      <c r="I91" s="11">
        <v>663</v>
      </c>
      <c r="J91" s="11">
        <v>663</v>
      </c>
      <c r="K91" s="11"/>
      <c r="L91" s="223">
        <f>C90/C89</f>
        <v>0.21139472570864476</v>
      </c>
      <c r="M91" s="223">
        <f t="shared" ref="M91:S91" si="10">D90/D89</f>
        <v>0.1988708373895634</v>
      </c>
      <c r="N91" s="223">
        <f t="shared" si="10"/>
        <v>0.2120886450297623</v>
      </c>
      <c r="O91" s="224">
        <f t="shared" si="10"/>
        <v>0.20969093422505736</v>
      </c>
      <c r="P91" s="224">
        <f t="shared" si="10"/>
        <v>0.21028399768165157</v>
      </c>
      <c r="Q91" s="224">
        <f t="shared" si="10"/>
        <v>0.21028530398722212</v>
      </c>
      <c r="R91" s="224">
        <f t="shared" si="10"/>
        <v>0.20931171205394242</v>
      </c>
      <c r="S91" s="224">
        <f t="shared" si="10"/>
        <v>0.20889264275587463</v>
      </c>
    </row>
    <row r="92" spans="1:20" ht="33" customHeight="1">
      <c r="A92" s="123" t="s">
        <v>16</v>
      </c>
      <c r="B92" s="10">
        <v>9040</v>
      </c>
      <c r="C92" s="11">
        <v>5042.8</v>
      </c>
      <c r="D92" s="11">
        <v>5295.9</v>
      </c>
      <c r="E92" s="11">
        <v>6124.4</v>
      </c>
      <c r="F92" s="11">
        <f t="shared" si="8"/>
        <v>8543.7000000000007</v>
      </c>
      <c r="G92" s="11">
        <v>2850.2</v>
      </c>
      <c r="H92" s="11">
        <v>1546.5</v>
      </c>
      <c r="I92" s="11">
        <v>1356.8</v>
      </c>
      <c r="J92" s="11">
        <v>2790.2</v>
      </c>
      <c r="K92" s="11"/>
      <c r="L92" s="134"/>
    </row>
    <row r="93" spans="1:20" ht="33" customHeight="1">
      <c r="A93" s="191" t="s">
        <v>21</v>
      </c>
      <c r="B93" s="8">
        <v>9050</v>
      </c>
      <c r="C93" s="9">
        <f>SUM(C88:C92)</f>
        <v>56717.100000000006</v>
      </c>
      <c r="D93" s="9">
        <f t="shared" ref="D93:H93" si="11">SUM(D88:D92)</f>
        <v>80700.599999999991</v>
      </c>
      <c r="E93" s="9">
        <f>SUM(E88:E92)</f>
        <v>87746</v>
      </c>
      <c r="F93" s="9">
        <f>SUM(G93:J93)</f>
        <v>103241.9</v>
      </c>
      <c r="G93" s="9">
        <f>SUM(G88:G92)</f>
        <v>28380.799999999999</v>
      </c>
      <c r="H93" s="9">
        <f t="shared" si="11"/>
        <v>26267.399999999998</v>
      </c>
      <c r="I93" s="9">
        <f>SUM(I88:I92)</f>
        <v>22739.8</v>
      </c>
      <c r="J93" s="9">
        <f>SUM(J88:J92)</f>
        <v>25853.9</v>
      </c>
      <c r="K93" s="11"/>
      <c r="L93" s="134"/>
    </row>
    <row r="94" spans="1:20" ht="24.95" customHeight="1">
      <c r="A94" s="258" t="s">
        <v>191</v>
      </c>
      <c r="B94" s="258"/>
      <c r="C94" s="258"/>
      <c r="D94" s="258"/>
      <c r="E94" s="258"/>
      <c r="F94" s="258"/>
      <c r="G94" s="258"/>
      <c r="H94" s="258"/>
      <c r="I94" s="258"/>
      <c r="J94" s="258"/>
      <c r="K94" s="258"/>
      <c r="L94" s="134"/>
    </row>
    <row r="95" spans="1:20" ht="69" customHeight="1">
      <c r="A95" s="192" t="s">
        <v>262</v>
      </c>
      <c r="B95" s="187">
        <v>2110</v>
      </c>
      <c r="C95" s="9">
        <f>SUM(C96:C99)</f>
        <v>-393.6</v>
      </c>
      <c r="D95" s="9">
        <f>SUM(D96:D99)</f>
        <v>-653.29999999999995</v>
      </c>
      <c r="E95" s="9">
        <f t="shared" ref="E95:J95" si="12">SUM(E96:E99)</f>
        <v>-591</v>
      </c>
      <c r="F95" s="9">
        <f>SUM(G95:J95)</f>
        <v>-776.90000000000009</v>
      </c>
      <c r="G95" s="9">
        <f t="shared" si="12"/>
        <v>-183.8</v>
      </c>
      <c r="H95" s="9">
        <f t="shared" si="12"/>
        <v>-188.3</v>
      </c>
      <c r="I95" s="9">
        <f t="shared" si="12"/>
        <v>-189.5</v>
      </c>
      <c r="J95" s="9">
        <f t="shared" si="12"/>
        <v>-215.3</v>
      </c>
      <c r="K95" s="193"/>
      <c r="L95" s="134"/>
    </row>
    <row r="96" spans="1:20" ht="44.25" customHeight="1">
      <c r="A96" s="123" t="s">
        <v>125</v>
      </c>
      <c r="B96" s="19">
        <v>2111</v>
      </c>
      <c r="C96" s="11" t="s">
        <v>68</v>
      </c>
      <c r="D96" s="11" t="s">
        <v>68</v>
      </c>
      <c r="E96" s="11" t="s">
        <v>68</v>
      </c>
      <c r="F96" s="9">
        <f t="shared" ref="F96:F111" si="13">SUM(G96:J96)</f>
        <v>0</v>
      </c>
      <c r="G96" s="11" t="s">
        <v>68</v>
      </c>
      <c r="H96" s="11" t="s">
        <v>68</v>
      </c>
      <c r="I96" s="11" t="s">
        <v>68</v>
      </c>
      <c r="J96" s="11" t="s">
        <v>68</v>
      </c>
      <c r="K96" s="193"/>
      <c r="L96" s="134"/>
    </row>
    <row r="97" spans="1:20" ht="45.75" customHeight="1">
      <c r="A97" s="194" t="s">
        <v>126</v>
      </c>
      <c r="B97" s="19">
        <v>2112</v>
      </c>
      <c r="C97" s="11" t="s">
        <v>68</v>
      </c>
      <c r="D97" s="11" t="s">
        <v>68</v>
      </c>
      <c r="E97" s="11" t="s">
        <v>68</v>
      </c>
      <c r="F97" s="9">
        <f t="shared" si="13"/>
        <v>0</v>
      </c>
      <c r="G97" s="11" t="s">
        <v>68</v>
      </c>
      <c r="H97" s="11" t="s">
        <v>68</v>
      </c>
      <c r="I97" s="11" t="s">
        <v>68</v>
      </c>
      <c r="J97" s="11" t="s">
        <v>68</v>
      </c>
      <c r="K97" s="193"/>
      <c r="L97" s="134"/>
    </row>
    <row r="98" spans="1:20" ht="28.5" customHeight="1">
      <c r="A98" s="123" t="s">
        <v>134</v>
      </c>
      <c r="B98" s="19">
        <v>2113</v>
      </c>
      <c r="C98" s="11">
        <v>-393.6</v>
      </c>
      <c r="D98" s="11">
        <v>-653.29999999999995</v>
      </c>
      <c r="E98" s="11">
        <v>-591</v>
      </c>
      <c r="F98" s="11">
        <f t="shared" si="13"/>
        <v>-776.90000000000009</v>
      </c>
      <c r="G98" s="11">
        <v>-183.8</v>
      </c>
      <c r="H98" s="11">
        <v>-188.3</v>
      </c>
      <c r="I98" s="11">
        <v>-189.5</v>
      </c>
      <c r="J98" s="11">
        <v>-215.3</v>
      </c>
      <c r="K98" s="193"/>
      <c r="L98" s="134">
        <f>C89*0.015</f>
        <v>393.5505</v>
      </c>
      <c r="M98" s="134">
        <f t="shared" ref="M98:R98" si="14">D89*0.015</f>
        <v>653.31600000000003</v>
      </c>
      <c r="N98" s="195">
        <f t="shared" si="14"/>
        <v>595.97249999999997</v>
      </c>
      <c r="O98" s="134">
        <f t="shared" si="14"/>
        <v>776.92200000000003</v>
      </c>
      <c r="P98" s="134">
        <f t="shared" si="14"/>
        <v>183.75149999999999</v>
      </c>
      <c r="Q98" s="134">
        <f t="shared" si="14"/>
        <v>204.72899999999998</v>
      </c>
      <c r="R98" s="134">
        <f t="shared" si="14"/>
        <v>189.53550000000001</v>
      </c>
      <c r="S98" s="134">
        <f>J89*0.015</f>
        <v>198.90599999999998</v>
      </c>
      <c r="T98" s="134"/>
    </row>
    <row r="99" spans="1:20" ht="33" customHeight="1">
      <c r="A99" s="123" t="s">
        <v>103</v>
      </c>
      <c r="B99" s="19">
        <v>2114</v>
      </c>
      <c r="C99" s="11" t="s">
        <v>68</v>
      </c>
      <c r="D99" s="11" t="s">
        <v>68</v>
      </c>
      <c r="E99" s="11" t="s">
        <v>68</v>
      </c>
      <c r="F99" s="9">
        <f t="shared" si="13"/>
        <v>0</v>
      </c>
      <c r="G99" s="11" t="s">
        <v>68</v>
      </c>
      <c r="H99" s="11" t="s">
        <v>68</v>
      </c>
      <c r="I99" s="11" t="s">
        <v>68</v>
      </c>
      <c r="J99" s="11" t="s">
        <v>68</v>
      </c>
      <c r="K99" s="193"/>
      <c r="L99" s="134"/>
    </row>
    <row r="100" spans="1:20" ht="43.5" customHeight="1">
      <c r="A100" s="196" t="s">
        <v>131</v>
      </c>
      <c r="B100" s="8">
        <v>2120</v>
      </c>
      <c r="C100" s="9">
        <f>SUM(C101:C106)</f>
        <v>-4722.6000000000004</v>
      </c>
      <c r="D100" s="9">
        <f>SUM(D101:D106)</f>
        <v>-7839.8</v>
      </c>
      <c r="E100" s="9">
        <f>SUM(E101:E106)</f>
        <v>-7091.7</v>
      </c>
      <c r="F100" s="9">
        <f t="shared" si="13"/>
        <v>-9323.0999999999985</v>
      </c>
      <c r="G100" s="9">
        <f>SUM(G101:G106)</f>
        <v>-2205</v>
      </c>
      <c r="H100" s="9">
        <f>SUM(H101:H106)</f>
        <v>-2260</v>
      </c>
      <c r="I100" s="9">
        <f>SUM(I101:I106)</f>
        <v>-2274.4</v>
      </c>
      <c r="J100" s="9">
        <f>SUM(J101:J106)</f>
        <v>-2583.6999999999998</v>
      </c>
      <c r="K100" s="193"/>
      <c r="L100" s="134"/>
    </row>
    <row r="101" spans="1:20" ht="36" customHeight="1">
      <c r="A101" s="194" t="s">
        <v>94</v>
      </c>
      <c r="B101" s="10">
        <v>2121</v>
      </c>
      <c r="C101" s="11" t="s">
        <v>68</v>
      </c>
      <c r="D101" s="11" t="s">
        <v>68</v>
      </c>
      <c r="E101" s="11" t="s">
        <v>68</v>
      </c>
      <c r="F101" s="9">
        <f t="shared" si="13"/>
        <v>0</v>
      </c>
      <c r="G101" s="11" t="s">
        <v>68</v>
      </c>
      <c r="H101" s="11" t="s">
        <v>68</v>
      </c>
      <c r="I101" s="11" t="s">
        <v>68</v>
      </c>
      <c r="J101" s="11" t="s">
        <v>68</v>
      </c>
      <c r="K101" s="193"/>
      <c r="L101" s="134"/>
    </row>
    <row r="102" spans="1:20" ht="33.75" customHeight="1">
      <c r="A102" s="123" t="s">
        <v>32</v>
      </c>
      <c r="B102" s="10">
        <v>2122</v>
      </c>
      <c r="C102" s="11">
        <v>-4722.6000000000004</v>
      </c>
      <c r="D102" s="11">
        <v>-7839.8</v>
      </c>
      <c r="E102" s="11">
        <v>-7091.7</v>
      </c>
      <c r="F102" s="11">
        <f t="shared" si="13"/>
        <v>-9323.0999999999985</v>
      </c>
      <c r="G102" s="11">
        <v>-2205</v>
      </c>
      <c r="H102" s="11">
        <v>-2260</v>
      </c>
      <c r="I102" s="11">
        <v>-2274.4</v>
      </c>
      <c r="J102" s="11">
        <v>-2583.6999999999998</v>
      </c>
      <c r="K102" s="193"/>
      <c r="L102" s="134">
        <f>C89*0.18</f>
        <v>4722.6059999999998</v>
      </c>
      <c r="M102" s="134">
        <f t="shared" ref="M102:N102" si="15">D89*0.18</f>
        <v>7839.7920000000004</v>
      </c>
      <c r="N102" s="195">
        <f t="shared" si="15"/>
        <v>7151.67</v>
      </c>
      <c r="O102" s="134">
        <f>F89*0.18</f>
        <v>9323.0640000000003</v>
      </c>
      <c r="P102" s="134">
        <f t="shared" ref="P102:S102" si="16">G89*0.18</f>
        <v>2205.018</v>
      </c>
      <c r="Q102" s="134">
        <f t="shared" si="16"/>
        <v>2456.748</v>
      </c>
      <c r="R102" s="134">
        <f t="shared" si="16"/>
        <v>2274.4259999999999</v>
      </c>
      <c r="S102" s="134">
        <f t="shared" si="16"/>
        <v>2386.8719999999998</v>
      </c>
    </row>
    <row r="103" spans="1:20" ht="31.5" customHeight="1">
      <c r="A103" s="123" t="s">
        <v>106</v>
      </c>
      <c r="B103" s="10">
        <v>2123</v>
      </c>
      <c r="C103" s="11" t="s">
        <v>68</v>
      </c>
      <c r="D103" s="11" t="s">
        <v>68</v>
      </c>
      <c r="E103" s="11" t="s">
        <v>68</v>
      </c>
      <c r="F103" s="9">
        <f t="shared" si="13"/>
        <v>0</v>
      </c>
      <c r="G103" s="11" t="s">
        <v>68</v>
      </c>
      <c r="H103" s="11" t="s">
        <v>68</v>
      </c>
      <c r="I103" s="11" t="s">
        <v>68</v>
      </c>
      <c r="J103" s="11" t="s">
        <v>68</v>
      </c>
      <c r="K103" s="193"/>
      <c r="L103" s="134"/>
    </row>
    <row r="104" spans="1:20" ht="31.5" customHeight="1">
      <c r="A104" s="123" t="s">
        <v>107</v>
      </c>
      <c r="B104" s="10">
        <v>2124</v>
      </c>
      <c r="C104" s="11" t="s">
        <v>68</v>
      </c>
      <c r="D104" s="11" t="s">
        <v>68</v>
      </c>
      <c r="E104" s="11" t="s">
        <v>68</v>
      </c>
      <c r="F104" s="9">
        <f t="shared" si="13"/>
        <v>0</v>
      </c>
      <c r="G104" s="11" t="s">
        <v>68</v>
      </c>
      <c r="H104" s="11" t="s">
        <v>68</v>
      </c>
      <c r="I104" s="11" t="s">
        <v>68</v>
      </c>
      <c r="J104" s="11" t="s">
        <v>68</v>
      </c>
      <c r="K104" s="193"/>
      <c r="L104" s="134"/>
    </row>
    <row r="105" spans="1:20" ht="96.75" customHeight="1">
      <c r="A105" s="123" t="s">
        <v>215</v>
      </c>
      <c r="B105" s="10">
        <v>2125</v>
      </c>
      <c r="C105" s="11" t="s">
        <v>68</v>
      </c>
      <c r="D105" s="11" t="s">
        <v>68</v>
      </c>
      <c r="E105" s="11" t="s">
        <v>68</v>
      </c>
      <c r="F105" s="9">
        <f t="shared" si="13"/>
        <v>0</v>
      </c>
      <c r="G105" s="11" t="s">
        <v>68</v>
      </c>
      <c r="H105" s="11" t="s">
        <v>68</v>
      </c>
      <c r="I105" s="11" t="s">
        <v>68</v>
      </c>
      <c r="J105" s="11" t="s">
        <v>68</v>
      </c>
      <c r="K105" s="193"/>
      <c r="L105" s="134"/>
    </row>
    <row r="106" spans="1:20" ht="38.25" customHeight="1">
      <c r="A106" s="123" t="s">
        <v>103</v>
      </c>
      <c r="B106" s="10">
        <v>2126</v>
      </c>
      <c r="C106" s="11" t="s">
        <v>68</v>
      </c>
      <c r="D106" s="11" t="s">
        <v>68</v>
      </c>
      <c r="E106" s="11" t="s">
        <v>68</v>
      </c>
      <c r="F106" s="9">
        <f t="shared" si="13"/>
        <v>0</v>
      </c>
      <c r="G106" s="11" t="s">
        <v>68</v>
      </c>
      <c r="H106" s="11" t="s">
        <v>68</v>
      </c>
      <c r="I106" s="11" t="s">
        <v>68</v>
      </c>
      <c r="J106" s="11" t="s">
        <v>68</v>
      </c>
      <c r="K106" s="193"/>
      <c r="L106" s="134"/>
    </row>
    <row r="107" spans="1:20" ht="48" customHeight="1">
      <c r="A107" s="192" t="s">
        <v>132</v>
      </c>
      <c r="B107" s="8">
        <v>2130</v>
      </c>
      <c r="C107" s="9">
        <f>SUM(C108:C110)</f>
        <v>-5815</v>
      </c>
      <c r="D107" s="9">
        <f t="shared" ref="D107:I107" si="17">SUM(D108:D110)</f>
        <v>-8930.4000000000015</v>
      </c>
      <c r="E107" s="9">
        <f t="shared" si="17"/>
        <v>-8716.6</v>
      </c>
      <c r="F107" s="9">
        <f t="shared" si="13"/>
        <v>-11274.8</v>
      </c>
      <c r="G107" s="9">
        <f t="shared" si="17"/>
        <v>-2668.9</v>
      </c>
      <c r="H107" s="9">
        <f t="shared" si="17"/>
        <v>-2975.1</v>
      </c>
      <c r="I107" s="9">
        <f t="shared" si="17"/>
        <v>-2751.8</v>
      </c>
      <c r="J107" s="9">
        <f>SUM(J108:J110)</f>
        <v>-2879</v>
      </c>
      <c r="K107" s="193"/>
      <c r="L107" s="134"/>
    </row>
    <row r="108" spans="1:20" ht="33" customHeight="1">
      <c r="A108" s="123" t="s">
        <v>104</v>
      </c>
      <c r="B108" s="10">
        <v>2131</v>
      </c>
      <c r="C108" s="11" t="s">
        <v>68</v>
      </c>
      <c r="D108" s="11" t="s">
        <v>68</v>
      </c>
      <c r="E108" s="11" t="s">
        <v>68</v>
      </c>
      <c r="F108" s="9">
        <f t="shared" si="13"/>
        <v>0</v>
      </c>
      <c r="G108" s="11" t="s">
        <v>68</v>
      </c>
      <c r="H108" s="11" t="s">
        <v>68</v>
      </c>
      <c r="I108" s="11" t="s">
        <v>68</v>
      </c>
      <c r="J108" s="11" t="s">
        <v>68</v>
      </c>
      <c r="K108" s="193"/>
      <c r="L108" s="134"/>
    </row>
    <row r="109" spans="1:20" ht="44.25" customHeight="1">
      <c r="A109" s="123" t="s">
        <v>105</v>
      </c>
      <c r="B109" s="10">
        <v>2132</v>
      </c>
      <c r="C109" s="11">
        <v>-5546.3</v>
      </c>
      <c r="D109" s="11">
        <v>-8661.7000000000007</v>
      </c>
      <c r="E109" s="11">
        <v>-8426.6</v>
      </c>
      <c r="F109" s="11">
        <f t="shared" si="13"/>
        <v>-10860.900000000001</v>
      </c>
      <c r="G109" s="197">
        <v>-2576</v>
      </c>
      <c r="H109" s="197">
        <v>-2870.1</v>
      </c>
      <c r="I109" s="197">
        <v>-2644.8</v>
      </c>
      <c r="J109" s="197">
        <v>-2770</v>
      </c>
      <c r="K109" s="193"/>
      <c r="L109" s="134">
        <v>5546.3</v>
      </c>
      <c r="M109" s="113">
        <v>8661.7000000000007</v>
      </c>
      <c r="N109" s="198">
        <v>8426.6</v>
      </c>
      <c r="O109" s="113">
        <v>10955.1</v>
      </c>
      <c r="P109" s="113">
        <v>2351.3000000000002</v>
      </c>
      <c r="Q109" s="113">
        <v>2682.4</v>
      </c>
      <c r="R109" s="113">
        <v>2647.8</v>
      </c>
      <c r="S109" s="113">
        <v>3273.6</v>
      </c>
    </row>
    <row r="110" spans="1:20" ht="41.25" customHeight="1">
      <c r="A110" s="123" t="s">
        <v>528</v>
      </c>
      <c r="B110" s="10">
        <v>2133</v>
      </c>
      <c r="C110" s="11">
        <v>-268.7</v>
      </c>
      <c r="D110" s="11">
        <v>-268.7</v>
      </c>
      <c r="E110" s="11">
        <v>-290</v>
      </c>
      <c r="F110" s="11">
        <f t="shared" si="13"/>
        <v>-413.9</v>
      </c>
      <c r="G110" s="11">
        <v>-92.9</v>
      </c>
      <c r="H110" s="11">
        <v>-105</v>
      </c>
      <c r="I110" s="11">
        <v>-107</v>
      </c>
      <c r="J110" s="11">
        <v>-109</v>
      </c>
      <c r="K110" s="193"/>
      <c r="L110" s="134" t="s">
        <v>518</v>
      </c>
    </row>
    <row r="111" spans="1:20" ht="30.75" customHeight="1">
      <c r="A111" s="196" t="s">
        <v>128</v>
      </c>
      <c r="B111" s="8">
        <v>2200</v>
      </c>
      <c r="C111" s="9">
        <f>SUM(C95+C100+C107)</f>
        <v>-10931.2</v>
      </c>
      <c r="D111" s="9">
        <f>SUM(D95+D100+D107)</f>
        <v>-17423.5</v>
      </c>
      <c r="E111" s="9">
        <f>SUM(E95+E100+E107)</f>
        <v>-16399.3</v>
      </c>
      <c r="F111" s="9">
        <f t="shared" si="13"/>
        <v>-21374.800000000003</v>
      </c>
      <c r="G111" s="9">
        <f>SUM(G95+G100+G107)</f>
        <v>-5057.7000000000007</v>
      </c>
      <c r="H111" s="9">
        <f>SUM(H95+H100+H107)</f>
        <v>-5423.4</v>
      </c>
      <c r="I111" s="9">
        <f>SUM(I95+I100+I107)</f>
        <v>-5215.7000000000007</v>
      </c>
      <c r="J111" s="9">
        <f>SUM(J95+J100+J107)</f>
        <v>-5678</v>
      </c>
      <c r="K111" s="193"/>
      <c r="L111" s="134"/>
    </row>
    <row r="112" spans="1:20" ht="24.95" customHeight="1">
      <c r="A112" s="258" t="s">
        <v>192</v>
      </c>
      <c r="B112" s="258"/>
      <c r="C112" s="258"/>
      <c r="D112" s="258"/>
      <c r="E112" s="258"/>
      <c r="F112" s="258"/>
      <c r="G112" s="258"/>
      <c r="H112" s="258"/>
      <c r="I112" s="258"/>
      <c r="J112" s="258"/>
      <c r="K112" s="258"/>
      <c r="L112" s="134"/>
    </row>
    <row r="113" spans="1:19" ht="46.5" customHeight="1">
      <c r="A113" s="199" t="s">
        <v>45</v>
      </c>
      <c r="B113" s="8"/>
      <c r="C113" s="200"/>
      <c r="D113" s="200"/>
      <c r="E113" s="200"/>
      <c r="F113" s="200"/>
      <c r="G113" s="200"/>
      <c r="H113" s="200"/>
      <c r="I113" s="200"/>
      <c r="J113" s="200"/>
      <c r="K113" s="193"/>
      <c r="L113" s="134"/>
    </row>
    <row r="114" spans="1:19" ht="42.75" customHeight="1">
      <c r="A114" s="186" t="s">
        <v>89</v>
      </c>
      <c r="B114" s="187">
        <v>3000</v>
      </c>
      <c r="C114" s="200">
        <f>SUM(C115:C118)</f>
        <v>55266.899999999994</v>
      </c>
      <c r="D114" s="200">
        <f t="shared" ref="D114:J114" si="18">SUM(D115:D118)</f>
        <v>79338.399999999994</v>
      </c>
      <c r="E114" s="200">
        <f t="shared" si="18"/>
        <v>82142.099999999991</v>
      </c>
      <c r="F114" s="200">
        <f t="shared" si="18"/>
        <v>100589.90000000001</v>
      </c>
      <c r="G114" s="200">
        <f t="shared" si="18"/>
        <v>27717.8</v>
      </c>
      <c r="H114" s="200">
        <f>SUM(H115:H118)</f>
        <v>25615.500000000004</v>
      </c>
      <c r="I114" s="200">
        <f t="shared" si="18"/>
        <v>22065.7</v>
      </c>
      <c r="J114" s="200">
        <f t="shared" si="18"/>
        <v>25190.9</v>
      </c>
      <c r="K114" s="193"/>
      <c r="L114" s="134"/>
    </row>
    <row r="115" spans="1:19" ht="51.75" customHeight="1">
      <c r="A115" s="188" t="s">
        <v>115</v>
      </c>
      <c r="B115" s="19">
        <v>3010</v>
      </c>
      <c r="C115" s="197">
        <v>27137.1</v>
      </c>
      <c r="D115" s="197">
        <v>62038.9</v>
      </c>
      <c r="E115" s="197">
        <v>57463.5</v>
      </c>
      <c r="F115" s="197">
        <f>'Розшифровка 1 до Формування'!G8</f>
        <v>86127</v>
      </c>
      <c r="G115" s="197">
        <v>22123.1</v>
      </c>
      <c r="H115" s="197">
        <v>22041.9</v>
      </c>
      <c r="I115" s="197">
        <v>19949.599999999999</v>
      </c>
      <c r="J115" s="197">
        <v>22012.400000000001</v>
      </c>
      <c r="K115" s="193"/>
      <c r="L115" s="134"/>
    </row>
    <row r="116" spans="1:19" ht="27.75" customHeight="1">
      <c r="A116" s="188" t="s">
        <v>116</v>
      </c>
      <c r="B116" s="19">
        <v>3020</v>
      </c>
      <c r="C116" s="197">
        <v>26385.1</v>
      </c>
      <c r="D116" s="197">
        <v>15818.5</v>
      </c>
      <c r="E116" s="197">
        <f>22209.7+108.5</f>
        <v>22318.2</v>
      </c>
      <c r="F116" s="197">
        <f t="shared" ref="F116:F125" si="19">G116+H116+I116+J116</f>
        <v>12526.1</v>
      </c>
      <c r="G116" s="197">
        <v>5001.5</v>
      </c>
      <c r="H116" s="197">
        <v>3118.4</v>
      </c>
      <c r="I116" s="197">
        <v>1759.2</v>
      </c>
      <c r="J116" s="197">
        <v>2647</v>
      </c>
      <c r="K116" s="193"/>
      <c r="L116" s="134"/>
    </row>
    <row r="117" spans="1:19" ht="45.75" customHeight="1">
      <c r="A117" s="201" t="s">
        <v>137</v>
      </c>
      <c r="B117" s="19">
        <v>3030</v>
      </c>
      <c r="C117" s="197">
        <v>88</v>
      </c>
      <c r="D117" s="197">
        <v>88</v>
      </c>
      <c r="E117" s="197">
        <v>165.7</v>
      </c>
      <c r="F117" s="197">
        <f t="shared" si="19"/>
        <v>144</v>
      </c>
      <c r="G117" s="197">
        <v>36</v>
      </c>
      <c r="H117" s="197">
        <v>36</v>
      </c>
      <c r="I117" s="197">
        <v>36</v>
      </c>
      <c r="J117" s="197">
        <v>36</v>
      </c>
      <c r="K117" s="193" t="s">
        <v>57</v>
      </c>
      <c r="L117" s="134"/>
    </row>
    <row r="118" spans="1:19" ht="30.75" customHeight="1">
      <c r="A118" s="123" t="s">
        <v>135</v>
      </c>
      <c r="B118" s="19">
        <v>3040</v>
      </c>
      <c r="C118" s="197">
        <v>1656.6999999999998</v>
      </c>
      <c r="D118" s="197">
        <v>1393</v>
      </c>
      <c r="E118" s="197">
        <v>2194.6999999999998</v>
      </c>
      <c r="F118" s="197">
        <f>SUM(G118:J118)</f>
        <v>1792.8000000000002</v>
      </c>
      <c r="G118" s="197">
        <v>557.20000000000005</v>
      </c>
      <c r="H118" s="197">
        <v>419.2</v>
      </c>
      <c r="I118" s="197">
        <v>320.89999999999998</v>
      </c>
      <c r="J118" s="197">
        <v>495.5</v>
      </c>
      <c r="K118" s="193" t="s">
        <v>57</v>
      </c>
      <c r="L118" s="134"/>
      <c r="O118" s="113">
        <v>1034.0999999999999</v>
      </c>
    </row>
    <row r="119" spans="1:19" ht="45" customHeight="1">
      <c r="A119" s="186" t="s">
        <v>90</v>
      </c>
      <c r="B119" s="187">
        <v>3100</v>
      </c>
      <c r="C119" s="200">
        <f>SUM(C120:C122,C130,C131)</f>
        <v>-46089.899999999994</v>
      </c>
      <c r="D119" s="200">
        <f>SUM(D120:D122,D130,D131)</f>
        <v>-86835.9</v>
      </c>
      <c r="E119" s="200">
        <f>SUM(E120:E122,E130,E131)</f>
        <v>-83629.3</v>
      </c>
      <c r="F119" s="200">
        <f>G119+H119+I119+J119</f>
        <v>-107032.6</v>
      </c>
      <c r="G119" s="200">
        <f>SUM(G120:G122,G130,G131)</f>
        <v>-29858.7</v>
      </c>
      <c r="H119" s="200">
        <f>SUM(H120:H122,H130,H131)</f>
        <v>-27614</v>
      </c>
      <c r="I119" s="200">
        <f>SUM(I120:I122,I130,I131)</f>
        <v>-22740.5</v>
      </c>
      <c r="J119" s="200">
        <f t="shared" ref="J119" si="20">SUM(J120:J122,J130,J131)</f>
        <v>-26819.4</v>
      </c>
      <c r="K119" s="193" t="s">
        <v>57</v>
      </c>
      <c r="L119" s="134"/>
    </row>
    <row r="120" spans="1:19" ht="42" customHeight="1">
      <c r="A120" s="123" t="s">
        <v>91</v>
      </c>
      <c r="B120" s="19">
        <v>3110</v>
      </c>
      <c r="C120" s="197">
        <f>-14394.9+75.9</f>
        <v>-14319</v>
      </c>
      <c r="D120" s="197">
        <v>-34619.800000000003</v>
      </c>
      <c r="E120" s="197">
        <f>-36073.1+165.7+436.2</f>
        <v>-35471.200000000004</v>
      </c>
      <c r="F120" s="197">
        <f t="shared" si="19"/>
        <v>-44376.9</v>
      </c>
      <c r="G120" s="197">
        <f>-14980-52.6</f>
        <v>-15032.6</v>
      </c>
      <c r="H120" s="11">
        <v>-11095.3</v>
      </c>
      <c r="I120" s="11">
        <f>-7110-350</f>
        <v>-7460</v>
      </c>
      <c r="J120" s="11">
        <v>-10789</v>
      </c>
      <c r="K120" s="193"/>
      <c r="L120" s="134"/>
      <c r="M120" s="202"/>
      <c r="N120" s="202"/>
      <c r="O120" s="202"/>
      <c r="P120" s="202">
        <f>-K53-K60-K69</f>
        <v>0</v>
      </c>
    </row>
    <row r="121" spans="1:19" ht="33" customHeight="1">
      <c r="A121" s="123" t="s">
        <v>92</v>
      </c>
      <c r="B121" s="19">
        <v>3120</v>
      </c>
      <c r="C121" s="197">
        <f>-20851.8+12.1</f>
        <v>-20839.7</v>
      </c>
      <c r="D121" s="197">
        <v>-34792.6</v>
      </c>
      <c r="E121" s="197">
        <v>-31758.799999999999</v>
      </c>
      <c r="F121" s="197">
        <f t="shared" si="19"/>
        <v>-41280.899999999994</v>
      </c>
      <c r="G121" s="197">
        <v>-9768.4</v>
      </c>
      <c r="H121" s="11">
        <v>-11095.3</v>
      </c>
      <c r="I121" s="11">
        <v>-10064.799999999999</v>
      </c>
      <c r="J121" s="11">
        <v>-10352.4</v>
      </c>
      <c r="K121" s="193"/>
      <c r="L121" s="134">
        <f>C89+C102+C98+C110</f>
        <v>20851.8</v>
      </c>
      <c r="M121" s="134">
        <f t="shared" ref="M121:R121" si="21">D89+D102+D98+D110</f>
        <v>34792.6</v>
      </c>
      <c r="N121" s="134">
        <f t="shared" si="21"/>
        <v>31758.799999999999</v>
      </c>
      <c r="O121" s="195">
        <f t="shared" si="21"/>
        <v>41280.9</v>
      </c>
      <c r="P121" s="195">
        <f t="shared" si="21"/>
        <v>9768.4000000000015</v>
      </c>
      <c r="Q121" s="195">
        <f t="shared" si="21"/>
        <v>11095.300000000001</v>
      </c>
      <c r="R121" s="134">
        <f t="shared" si="21"/>
        <v>10064.800000000001</v>
      </c>
      <c r="S121" s="134">
        <f>J89+J102+J98+J110</f>
        <v>10352.400000000001</v>
      </c>
    </row>
    <row r="122" spans="1:19" ht="48.75" customHeight="1">
      <c r="A122" s="203" t="s">
        <v>93</v>
      </c>
      <c r="B122" s="204">
        <v>3130</v>
      </c>
      <c r="C122" s="205">
        <f t="shared" ref="C122" si="22">SUM(C123:C129)</f>
        <v>-10662.5</v>
      </c>
      <c r="D122" s="205">
        <f>SUM(D123:D129)</f>
        <v>-17154.800000000003</v>
      </c>
      <c r="E122" s="205">
        <f>SUM(E123:E129)</f>
        <v>-16109.3</v>
      </c>
      <c r="F122" s="205">
        <f>G122+H122+I122+J122</f>
        <v>-20960.900000000001</v>
      </c>
      <c r="G122" s="205">
        <f>SUM(G123:G129)</f>
        <v>-4964.8</v>
      </c>
      <c r="H122" s="205">
        <f>SUM(H123:H129)</f>
        <v>-5318.4</v>
      </c>
      <c r="I122" s="205">
        <f>SUM(I123:I129)</f>
        <v>-5108.7000000000007</v>
      </c>
      <c r="J122" s="205">
        <f>SUM(J123:J129)</f>
        <v>-5569</v>
      </c>
      <c r="K122" s="193"/>
      <c r="L122" s="134"/>
    </row>
    <row r="123" spans="1:19" ht="30" customHeight="1">
      <c r="A123" s="123" t="s">
        <v>94</v>
      </c>
      <c r="B123" s="19">
        <v>3131</v>
      </c>
      <c r="C123" s="200"/>
      <c r="D123" s="200"/>
      <c r="E123" s="200"/>
      <c r="F123" s="197">
        <f t="shared" si="19"/>
        <v>0</v>
      </c>
      <c r="G123" s="200"/>
      <c r="H123" s="200"/>
      <c r="I123" s="200"/>
      <c r="J123" s="200"/>
      <c r="K123" s="193"/>
      <c r="L123" s="134"/>
    </row>
    <row r="124" spans="1:19" ht="30" customHeight="1">
      <c r="A124" s="123" t="s">
        <v>95</v>
      </c>
      <c r="B124" s="19">
        <v>3132</v>
      </c>
      <c r="C124" s="200"/>
      <c r="D124" s="200"/>
      <c r="E124" s="200"/>
      <c r="F124" s="197">
        <f t="shared" si="19"/>
        <v>0</v>
      </c>
      <c r="G124" s="200"/>
      <c r="H124" s="200"/>
      <c r="I124" s="200"/>
      <c r="J124" s="200"/>
      <c r="K124" s="193"/>
      <c r="L124" s="134"/>
    </row>
    <row r="125" spans="1:19" ht="30" customHeight="1">
      <c r="A125" s="123" t="s">
        <v>32</v>
      </c>
      <c r="B125" s="19">
        <v>3133</v>
      </c>
      <c r="C125" s="197">
        <v>-4722.6000000000004</v>
      </c>
      <c r="D125" s="197">
        <v>-7839.8</v>
      </c>
      <c r="E125" s="197">
        <v>-7091.7</v>
      </c>
      <c r="F125" s="197">
        <f t="shared" si="19"/>
        <v>-9323.0999999999985</v>
      </c>
      <c r="G125" s="197">
        <f>G102</f>
        <v>-2205</v>
      </c>
      <c r="H125" s="197">
        <f t="shared" ref="H125:J125" si="23">H102</f>
        <v>-2260</v>
      </c>
      <c r="I125" s="197">
        <f t="shared" si="23"/>
        <v>-2274.4</v>
      </c>
      <c r="J125" s="197">
        <f t="shared" si="23"/>
        <v>-2583.6999999999998</v>
      </c>
      <c r="K125" s="193"/>
      <c r="L125" s="134"/>
    </row>
    <row r="126" spans="1:19" ht="30" customHeight="1">
      <c r="A126" s="123" t="s">
        <v>106</v>
      </c>
      <c r="B126" s="19">
        <v>3134</v>
      </c>
      <c r="C126" s="197"/>
      <c r="D126" s="200"/>
      <c r="E126" s="200"/>
      <c r="F126" s="197">
        <f>G126</f>
        <v>0</v>
      </c>
      <c r="G126" s="200"/>
      <c r="H126" s="200"/>
      <c r="I126" s="200"/>
      <c r="J126" s="200"/>
      <c r="K126" s="193"/>
      <c r="L126" s="134"/>
    </row>
    <row r="127" spans="1:19" ht="30" customHeight="1">
      <c r="A127" s="123" t="s">
        <v>107</v>
      </c>
      <c r="B127" s="19">
        <v>3135</v>
      </c>
      <c r="C127" s="197"/>
      <c r="D127" s="200"/>
      <c r="E127" s="200"/>
      <c r="F127" s="197">
        <f t="shared" ref="F127" si="24">G127</f>
        <v>0</v>
      </c>
      <c r="G127" s="200"/>
      <c r="H127" s="200"/>
      <c r="I127" s="200"/>
      <c r="J127" s="200"/>
      <c r="K127" s="193"/>
      <c r="L127" s="134"/>
    </row>
    <row r="128" spans="1:19" ht="30" customHeight="1">
      <c r="A128" s="123" t="s">
        <v>134</v>
      </c>
      <c r="B128" s="19">
        <v>3136</v>
      </c>
      <c r="C128" s="197">
        <v>-393.6</v>
      </c>
      <c r="D128" s="197">
        <v>-653.29999999999995</v>
      </c>
      <c r="E128" s="197">
        <v>-591</v>
      </c>
      <c r="F128" s="197">
        <f t="shared" ref="F128:F131" si="25">G128+H128+I128+J128</f>
        <v>-776.90000000000009</v>
      </c>
      <c r="G128" s="197">
        <f>G98</f>
        <v>-183.8</v>
      </c>
      <c r="H128" s="197">
        <f t="shared" ref="H128:I128" si="26">H98</f>
        <v>-188.3</v>
      </c>
      <c r="I128" s="197">
        <f t="shared" si="26"/>
        <v>-189.5</v>
      </c>
      <c r="J128" s="197">
        <f>J98</f>
        <v>-215.3</v>
      </c>
      <c r="K128" s="193"/>
      <c r="L128" s="134"/>
    </row>
    <row r="129" spans="1:12" ht="42" customHeight="1">
      <c r="A129" s="123" t="s">
        <v>136</v>
      </c>
      <c r="B129" s="19">
        <v>3137</v>
      </c>
      <c r="C129" s="197">
        <v>-5546.3</v>
      </c>
      <c r="D129" s="197">
        <v>-8661.7000000000007</v>
      </c>
      <c r="E129" s="197">
        <v>-8426.6</v>
      </c>
      <c r="F129" s="197">
        <f>G129+H129+I129+J129</f>
        <v>-10860.900000000001</v>
      </c>
      <c r="G129" s="197">
        <f>G109</f>
        <v>-2576</v>
      </c>
      <c r="H129" s="197">
        <f t="shared" ref="H129:J129" si="27">H109</f>
        <v>-2870.1</v>
      </c>
      <c r="I129" s="197">
        <f t="shared" si="27"/>
        <v>-2644.8</v>
      </c>
      <c r="J129" s="197">
        <f t="shared" si="27"/>
        <v>-2770</v>
      </c>
      <c r="K129" s="193"/>
      <c r="L129" s="134"/>
    </row>
    <row r="130" spans="1:12" ht="32.25" customHeight="1">
      <c r="A130" s="123" t="s">
        <v>529</v>
      </c>
      <c r="B130" s="19">
        <v>3138</v>
      </c>
      <c r="C130" s="197">
        <v>-268.7</v>
      </c>
      <c r="D130" s="197">
        <v>-268.7</v>
      </c>
      <c r="E130" s="197">
        <v>-290</v>
      </c>
      <c r="F130" s="197">
        <f t="shared" si="25"/>
        <v>-413.9</v>
      </c>
      <c r="G130" s="197">
        <f>G110</f>
        <v>-92.9</v>
      </c>
      <c r="H130" s="197">
        <f t="shared" ref="H130:J130" si="28">H110</f>
        <v>-105</v>
      </c>
      <c r="I130" s="197">
        <f t="shared" si="28"/>
        <v>-107</v>
      </c>
      <c r="J130" s="197">
        <f t="shared" si="28"/>
        <v>-109</v>
      </c>
      <c r="K130" s="193"/>
      <c r="L130" s="134" t="s">
        <v>519</v>
      </c>
    </row>
    <row r="131" spans="1:12" ht="27.75" customHeight="1">
      <c r="A131" s="188" t="s">
        <v>114</v>
      </c>
      <c r="B131" s="19">
        <v>3139</v>
      </c>
      <c r="C131" s="197"/>
      <c r="D131" s="197"/>
      <c r="E131" s="197"/>
      <c r="F131" s="197">
        <f t="shared" si="25"/>
        <v>0</v>
      </c>
      <c r="G131" s="197"/>
      <c r="H131" s="197"/>
      <c r="I131" s="197"/>
      <c r="J131" s="197"/>
      <c r="K131" s="193" t="s">
        <v>57</v>
      </c>
      <c r="L131" s="134"/>
    </row>
    <row r="132" spans="1:12" ht="51" customHeight="1">
      <c r="A132" s="196" t="s">
        <v>72</v>
      </c>
      <c r="B132" s="8">
        <v>3160</v>
      </c>
      <c r="C132" s="200">
        <f>SUM(C114,C119)</f>
        <v>9177</v>
      </c>
      <c r="D132" s="200">
        <f t="shared" ref="D132:J132" si="29">SUM(D114,D119)</f>
        <v>-7497.5</v>
      </c>
      <c r="E132" s="200">
        <f t="shared" si="29"/>
        <v>-1487.2000000000116</v>
      </c>
      <c r="F132" s="200">
        <f t="shared" si="29"/>
        <v>-6442.6999999999971</v>
      </c>
      <c r="G132" s="200">
        <f>SUM(G114,G119)</f>
        <v>-2140.9000000000015</v>
      </c>
      <c r="H132" s="200">
        <f t="shared" si="29"/>
        <v>-1998.4999999999964</v>
      </c>
      <c r="I132" s="200">
        <f t="shared" si="29"/>
        <v>-674.79999999999927</v>
      </c>
      <c r="J132" s="200">
        <f t="shared" si="29"/>
        <v>-1628.5</v>
      </c>
      <c r="K132" s="193" t="s">
        <v>57</v>
      </c>
      <c r="L132" s="134"/>
    </row>
    <row r="133" spans="1:12" ht="46.5" customHeight="1">
      <c r="A133" s="199" t="s">
        <v>46</v>
      </c>
      <c r="B133" s="10"/>
      <c r="C133" s="197"/>
      <c r="D133" s="197"/>
      <c r="E133" s="197"/>
      <c r="F133" s="197"/>
      <c r="G133" s="197"/>
      <c r="H133" s="197"/>
      <c r="I133" s="197"/>
      <c r="J133" s="197"/>
      <c r="K133" s="193"/>
      <c r="L133" s="134"/>
    </row>
    <row r="134" spans="1:12" ht="43.5" customHeight="1">
      <c r="A134" s="196" t="s">
        <v>96</v>
      </c>
      <c r="B134" s="8">
        <v>3200</v>
      </c>
      <c r="C134" s="200">
        <f>C135</f>
        <v>12708.4</v>
      </c>
      <c r="D134" s="200">
        <f t="shared" ref="D134:J134" si="30">D135</f>
        <v>5258.2</v>
      </c>
      <c r="E134" s="200">
        <f t="shared" si="30"/>
        <v>9050.7999999999993</v>
      </c>
      <c r="F134" s="200">
        <f t="shared" si="30"/>
        <v>1750</v>
      </c>
      <c r="G134" s="200">
        <f t="shared" si="30"/>
        <v>0</v>
      </c>
      <c r="H134" s="200">
        <f t="shared" si="30"/>
        <v>0</v>
      </c>
      <c r="I134" s="200">
        <f t="shared" si="30"/>
        <v>0</v>
      </c>
      <c r="J134" s="200">
        <f t="shared" si="30"/>
        <v>1750</v>
      </c>
      <c r="K134" s="193"/>
      <c r="L134" s="134"/>
    </row>
    <row r="135" spans="1:12" ht="31.5" customHeight="1">
      <c r="A135" s="232" t="s">
        <v>491</v>
      </c>
      <c r="B135" s="10">
        <v>3210</v>
      </c>
      <c r="C135" s="197">
        <v>12708.4</v>
      </c>
      <c r="D135" s="197">
        <v>5258.2</v>
      </c>
      <c r="E135" s="197">
        <v>9050.7999999999993</v>
      </c>
      <c r="F135" s="197">
        <v>1750</v>
      </c>
      <c r="G135" s="197">
        <v>0</v>
      </c>
      <c r="H135" s="197">
        <f>'Розшифровка кап'!H7</f>
        <v>0</v>
      </c>
      <c r="I135" s="197">
        <f>'Розшифровка кап'!I7</f>
        <v>0</v>
      </c>
      <c r="J135" s="197">
        <f>'Розшифровка кап'!J7</f>
        <v>1750</v>
      </c>
      <c r="K135" s="197">
        <f>'Розшифровка кап'!K7</f>
        <v>0</v>
      </c>
      <c r="L135" s="134"/>
    </row>
    <row r="136" spans="1:12" ht="43.5" customHeight="1">
      <c r="A136" s="196" t="s">
        <v>97</v>
      </c>
      <c r="B136" s="8">
        <v>3255</v>
      </c>
      <c r="C136" s="200">
        <f>SUM(C137,C144)</f>
        <v>-12708.4</v>
      </c>
      <c r="D136" s="200">
        <f t="shared" ref="D136" si="31">SUM(D137,D144)</f>
        <v>-5258.2</v>
      </c>
      <c r="E136" s="200">
        <f t="shared" ref="E136:J136" si="32">SUM(E137,E144)</f>
        <v>-9050.7999999999993</v>
      </c>
      <c r="F136" s="200">
        <f t="shared" si="32"/>
        <v>-1750</v>
      </c>
      <c r="G136" s="200">
        <f>SUM(G137,G144)</f>
        <v>0</v>
      </c>
      <c r="H136" s="200">
        <f t="shared" si="32"/>
        <v>0</v>
      </c>
      <c r="I136" s="200">
        <f t="shared" si="32"/>
        <v>0</v>
      </c>
      <c r="J136" s="200">
        <f t="shared" si="32"/>
        <v>-1750</v>
      </c>
      <c r="K136" s="193"/>
      <c r="L136" s="134"/>
    </row>
    <row r="137" spans="1:12" ht="47.25" customHeight="1">
      <c r="A137" s="203" t="s">
        <v>138</v>
      </c>
      <c r="B137" s="233">
        <v>3260</v>
      </c>
      <c r="C137" s="205">
        <v>-12708.4</v>
      </c>
      <c r="D137" s="205">
        <v>-5258.2</v>
      </c>
      <c r="E137" s="205">
        <f>SUM(E138:E143)</f>
        <v>-9050.7999999999993</v>
      </c>
      <c r="F137" s="205">
        <f>SUM(F138:F143)</f>
        <v>-1750</v>
      </c>
      <c r="G137" s="205">
        <v>0</v>
      </c>
      <c r="H137" s="205">
        <f t="shared" ref="H137:I137" si="33">SUM(H138:H143)</f>
        <v>0</v>
      </c>
      <c r="I137" s="205">
        <f t="shared" si="33"/>
        <v>0</v>
      </c>
      <c r="J137" s="205">
        <f>SUM(J138:J143)</f>
        <v>-1750</v>
      </c>
      <c r="K137" s="193"/>
      <c r="L137" s="134"/>
    </row>
    <row r="138" spans="1:12" ht="33" customHeight="1">
      <c r="A138" s="123" t="s">
        <v>140</v>
      </c>
      <c r="B138" s="10">
        <v>3265</v>
      </c>
      <c r="C138" s="197"/>
      <c r="D138" s="197"/>
      <c r="E138" s="197"/>
      <c r="F138" s="197"/>
      <c r="G138" s="197"/>
      <c r="H138" s="197"/>
      <c r="I138" s="197"/>
      <c r="J138" s="197"/>
      <c r="K138" s="193"/>
      <c r="L138" s="134"/>
    </row>
    <row r="139" spans="1:12" ht="43.5" customHeight="1">
      <c r="A139" s="123" t="s">
        <v>210</v>
      </c>
      <c r="B139" s="10">
        <v>3266</v>
      </c>
      <c r="C139" s="197">
        <v>-8936.9</v>
      </c>
      <c r="D139" s="197">
        <v>-3000</v>
      </c>
      <c r="E139" s="197">
        <v>-6848</v>
      </c>
      <c r="F139" s="197">
        <f>G139+H139+I139+J139</f>
        <v>-1750</v>
      </c>
      <c r="G139" s="197">
        <f>-'Розшифровка кап'!G8</f>
        <v>0</v>
      </c>
      <c r="H139" s="197">
        <f>-'Розшифровка кап'!H8</f>
        <v>0</v>
      </c>
      <c r="I139" s="197">
        <f>'Розшифровка кап'!I8</f>
        <v>0</v>
      </c>
      <c r="J139" s="197">
        <f>-('Розшифровка кап'!J8)</f>
        <v>-1750</v>
      </c>
      <c r="K139" s="193"/>
      <c r="L139" s="134"/>
    </row>
    <row r="140" spans="1:12" ht="47.25" customHeight="1">
      <c r="A140" s="123" t="s">
        <v>211</v>
      </c>
      <c r="B140" s="10">
        <v>3267</v>
      </c>
      <c r="C140" s="197"/>
      <c r="D140" s="197"/>
      <c r="E140" s="197"/>
      <c r="F140" s="197"/>
      <c r="G140" s="197"/>
      <c r="H140" s="197"/>
      <c r="I140" s="197"/>
      <c r="J140" s="197"/>
      <c r="K140" s="193"/>
      <c r="L140" s="134"/>
    </row>
    <row r="141" spans="1:12" ht="42" customHeight="1">
      <c r="A141" s="123" t="s">
        <v>139</v>
      </c>
      <c r="B141" s="10">
        <v>3268</v>
      </c>
      <c r="C141" s="197"/>
      <c r="D141" s="197"/>
      <c r="E141" s="197"/>
      <c r="F141" s="197"/>
      <c r="G141" s="197"/>
      <c r="H141" s="197"/>
      <c r="I141" s="197"/>
      <c r="J141" s="197"/>
      <c r="K141" s="193"/>
      <c r="L141" s="134"/>
    </row>
    <row r="142" spans="1:12" ht="65.25" customHeight="1">
      <c r="A142" s="123" t="s">
        <v>141</v>
      </c>
      <c r="B142" s="10">
        <v>3269</v>
      </c>
      <c r="C142" s="197"/>
      <c r="D142" s="197"/>
      <c r="E142" s="197"/>
      <c r="F142" s="197"/>
      <c r="G142" s="197"/>
      <c r="H142" s="197"/>
      <c r="I142" s="197"/>
      <c r="J142" s="197"/>
      <c r="K142" s="193"/>
      <c r="L142" s="134"/>
    </row>
    <row r="143" spans="1:12" ht="31.5" customHeight="1">
      <c r="A143" s="123" t="s">
        <v>142</v>
      </c>
      <c r="B143" s="10">
        <v>3270</v>
      </c>
      <c r="C143" s="197">
        <v>-3771.5</v>
      </c>
      <c r="D143" s="197">
        <v>-2258.1999999999998</v>
      </c>
      <c r="E143" s="197">
        <v>-2202.8000000000002</v>
      </c>
      <c r="F143" s="197"/>
      <c r="G143" s="197"/>
      <c r="H143" s="197">
        <f>-'Розшифровка кап'!H46</f>
        <v>0</v>
      </c>
      <c r="I143" s="197">
        <f>-('Розшифровка кап'!I46)</f>
        <v>0</v>
      </c>
      <c r="J143" s="197">
        <f>-'Розшифровка кап'!J46</f>
        <v>0</v>
      </c>
      <c r="K143" s="193"/>
      <c r="L143" s="134"/>
    </row>
    <row r="144" spans="1:12" ht="31.5" customHeight="1">
      <c r="A144" s="123" t="s">
        <v>114</v>
      </c>
      <c r="B144" s="10">
        <v>3280</v>
      </c>
      <c r="C144" s="197"/>
      <c r="D144" s="197"/>
      <c r="E144" s="197"/>
      <c r="F144" s="197"/>
      <c r="G144" s="197"/>
      <c r="H144" s="197"/>
      <c r="I144" s="197"/>
      <c r="J144" s="197"/>
      <c r="K144" s="193"/>
      <c r="L144" s="134"/>
    </row>
    <row r="145" spans="1:15" ht="47.25" customHeight="1">
      <c r="A145" s="191" t="s">
        <v>47</v>
      </c>
      <c r="B145" s="8">
        <v>3295</v>
      </c>
      <c r="C145" s="200">
        <f>SUM(C134,C136)</f>
        <v>0</v>
      </c>
      <c r="D145" s="200">
        <f t="shared" ref="D145:J145" si="34">SUM(D134,D136)</f>
        <v>0</v>
      </c>
      <c r="E145" s="200">
        <f t="shared" si="34"/>
        <v>0</v>
      </c>
      <c r="F145" s="200">
        <f t="shared" si="34"/>
        <v>0</v>
      </c>
      <c r="G145" s="200">
        <f t="shared" si="34"/>
        <v>0</v>
      </c>
      <c r="H145" s="200">
        <f t="shared" si="34"/>
        <v>0</v>
      </c>
      <c r="I145" s="200">
        <f t="shared" si="34"/>
        <v>0</v>
      </c>
      <c r="J145" s="200">
        <f t="shared" si="34"/>
        <v>0</v>
      </c>
      <c r="K145" s="193"/>
      <c r="L145" s="134"/>
    </row>
    <row r="146" spans="1:15" ht="45" customHeight="1">
      <c r="A146" s="8" t="s">
        <v>48</v>
      </c>
      <c r="B146" s="8"/>
      <c r="C146" s="200"/>
      <c r="D146" s="200"/>
      <c r="E146" s="200"/>
      <c r="F146" s="200"/>
      <c r="G146" s="200"/>
      <c r="H146" s="200"/>
      <c r="I146" s="200"/>
      <c r="J146" s="200"/>
      <c r="K146" s="193"/>
      <c r="L146" s="134"/>
    </row>
    <row r="147" spans="1:15" ht="45" customHeight="1">
      <c r="A147" s="191" t="s">
        <v>98</v>
      </c>
      <c r="B147" s="8">
        <v>3300</v>
      </c>
      <c r="C147" s="200">
        <f>SUM(C148:C151)</f>
        <v>0</v>
      </c>
      <c r="D147" s="200">
        <f t="shared" ref="D147:J147" si="35">SUM(D148:D151)</f>
        <v>0</v>
      </c>
      <c r="E147" s="200">
        <f t="shared" si="35"/>
        <v>0</v>
      </c>
      <c r="F147" s="200">
        <f t="shared" si="35"/>
        <v>0</v>
      </c>
      <c r="G147" s="200">
        <f t="shared" si="35"/>
        <v>0</v>
      </c>
      <c r="H147" s="200">
        <f t="shared" si="35"/>
        <v>0</v>
      </c>
      <c r="I147" s="200">
        <f t="shared" si="35"/>
        <v>0</v>
      </c>
      <c r="J147" s="200">
        <f t="shared" si="35"/>
        <v>0</v>
      </c>
      <c r="K147" s="193"/>
      <c r="L147" s="134"/>
    </row>
    <row r="148" spans="1:15" ht="30.75" customHeight="1">
      <c r="A148" s="123" t="s">
        <v>99</v>
      </c>
      <c r="B148" s="10">
        <v>3310</v>
      </c>
      <c r="C148" s="197"/>
      <c r="D148" s="197"/>
      <c r="E148" s="197"/>
      <c r="F148" s="197"/>
      <c r="G148" s="197"/>
      <c r="H148" s="197"/>
      <c r="I148" s="197"/>
      <c r="J148" s="197"/>
      <c r="K148" s="193"/>
      <c r="L148" s="134"/>
    </row>
    <row r="149" spans="1:15" ht="47.25" customHeight="1">
      <c r="A149" s="123" t="s">
        <v>207</v>
      </c>
      <c r="B149" s="10">
        <v>3320</v>
      </c>
      <c r="C149" s="197"/>
      <c r="D149" s="197"/>
      <c r="E149" s="197"/>
      <c r="F149" s="197"/>
      <c r="G149" s="197"/>
      <c r="H149" s="197"/>
      <c r="I149" s="197"/>
      <c r="J149" s="197"/>
      <c r="K149" s="193"/>
      <c r="L149" s="134"/>
    </row>
    <row r="150" spans="1:15" ht="49.5" customHeight="1">
      <c r="A150" s="123" t="s">
        <v>143</v>
      </c>
      <c r="B150" s="10">
        <v>3330</v>
      </c>
      <c r="C150" s="197"/>
      <c r="D150" s="197"/>
      <c r="E150" s="197"/>
      <c r="F150" s="197"/>
      <c r="G150" s="197"/>
      <c r="H150" s="197"/>
      <c r="I150" s="197"/>
      <c r="J150" s="197"/>
      <c r="K150" s="193"/>
      <c r="L150" s="134"/>
    </row>
    <row r="151" spans="1:15" ht="30.75" customHeight="1">
      <c r="A151" s="123" t="s">
        <v>135</v>
      </c>
      <c r="B151" s="10">
        <v>3340</v>
      </c>
      <c r="C151" s="197"/>
      <c r="D151" s="197"/>
      <c r="E151" s="197"/>
      <c r="F151" s="197"/>
      <c r="G151" s="197"/>
      <c r="H151" s="197"/>
      <c r="I151" s="197"/>
      <c r="J151" s="197"/>
      <c r="K151" s="193"/>
      <c r="L151" s="134"/>
    </row>
    <row r="152" spans="1:15" ht="47.25" customHeight="1">
      <c r="A152" s="191" t="s">
        <v>100</v>
      </c>
      <c r="B152" s="8">
        <v>3345</v>
      </c>
      <c r="C152" s="200">
        <f>SUM(C153:C156)</f>
        <v>0</v>
      </c>
      <c r="D152" s="200">
        <f t="shared" ref="D152:J152" si="36">SUM(D153:D156)</f>
        <v>0</v>
      </c>
      <c r="E152" s="200">
        <f t="shared" si="36"/>
        <v>0</v>
      </c>
      <c r="F152" s="200">
        <f t="shared" si="36"/>
        <v>0</v>
      </c>
      <c r="G152" s="200">
        <f t="shared" si="36"/>
        <v>0</v>
      </c>
      <c r="H152" s="200">
        <f t="shared" si="36"/>
        <v>0</v>
      </c>
      <c r="I152" s="200">
        <f t="shared" si="36"/>
        <v>0</v>
      </c>
      <c r="J152" s="200">
        <f t="shared" si="36"/>
        <v>0</v>
      </c>
      <c r="K152" s="193"/>
      <c r="L152" s="134"/>
    </row>
    <row r="153" spans="1:15" ht="48" customHeight="1">
      <c r="A153" s="123" t="s">
        <v>206</v>
      </c>
      <c r="B153" s="10">
        <v>3350</v>
      </c>
      <c r="C153" s="200"/>
      <c r="D153" s="200"/>
      <c r="E153" s="200"/>
      <c r="F153" s="200"/>
      <c r="G153" s="200"/>
      <c r="H153" s="200"/>
      <c r="I153" s="200"/>
      <c r="J153" s="200"/>
      <c r="K153" s="193"/>
      <c r="L153" s="134"/>
      <c r="O153" s="113">
        <v>436.2</v>
      </c>
    </row>
    <row r="154" spans="1:15" ht="30.75" customHeight="1">
      <c r="A154" s="123" t="s">
        <v>144</v>
      </c>
      <c r="B154" s="10">
        <v>3355</v>
      </c>
      <c r="C154" s="200"/>
      <c r="D154" s="200"/>
      <c r="E154" s="200"/>
      <c r="F154" s="200"/>
      <c r="G154" s="200"/>
      <c r="H154" s="200"/>
      <c r="I154" s="200"/>
      <c r="J154" s="200"/>
      <c r="K154" s="193"/>
      <c r="L154" s="134"/>
    </row>
    <row r="155" spans="1:15" ht="45" customHeight="1">
      <c r="A155" s="123" t="s">
        <v>145</v>
      </c>
      <c r="B155" s="10">
        <v>3360</v>
      </c>
      <c r="C155" s="200"/>
      <c r="D155" s="200"/>
      <c r="E155" s="200"/>
      <c r="F155" s="200"/>
      <c r="G155" s="200"/>
      <c r="H155" s="200"/>
      <c r="I155" s="200"/>
      <c r="J155" s="200"/>
      <c r="K155" s="193"/>
      <c r="L155" s="134"/>
    </row>
    <row r="156" spans="1:15" ht="33" customHeight="1">
      <c r="A156" s="123" t="s">
        <v>114</v>
      </c>
      <c r="B156" s="10">
        <v>3365</v>
      </c>
      <c r="C156" s="200"/>
      <c r="D156" s="200"/>
      <c r="E156" s="200"/>
      <c r="F156" s="200"/>
      <c r="G156" s="200"/>
      <c r="H156" s="200"/>
      <c r="I156" s="200"/>
      <c r="J156" s="200"/>
      <c r="K156" s="193"/>
      <c r="L156" s="134"/>
    </row>
    <row r="157" spans="1:15" ht="40.5" customHeight="1">
      <c r="A157" s="191" t="s">
        <v>49</v>
      </c>
      <c r="B157" s="8">
        <v>3370</v>
      </c>
      <c r="C157" s="200">
        <f>SUM(C147,C152)</f>
        <v>0</v>
      </c>
      <c r="D157" s="200">
        <f t="shared" ref="D157:J157" si="37">SUM(D147,D152)</f>
        <v>0</v>
      </c>
      <c r="E157" s="200">
        <f t="shared" si="37"/>
        <v>0</v>
      </c>
      <c r="F157" s="200">
        <f t="shared" si="37"/>
        <v>0</v>
      </c>
      <c r="G157" s="200">
        <f t="shared" si="37"/>
        <v>0</v>
      </c>
      <c r="H157" s="200">
        <f t="shared" si="37"/>
        <v>0</v>
      </c>
      <c r="I157" s="200">
        <f t="shared" si="37"/>
        <v>0</v>
      </c>
      <c r="J157" s="200">
        <f t="shared" si="37"/>
        <v>0</v>
      </c>
      <c r="K157" s="193"/>
      <c r="L157" s="134"/>
    </row>
    <row r="158" spans="1:15" ht="30.75" customHeight="1">
      <c r="A158" s="191" t="s">
        <v>17</v>
      </c>
      <c r="B158" s="8">
        <v>3400</v>
      </c>
      <c r="C158" s="200">
        <f>C132+C145+C157</f>
        <v>9177</v>
      </c>
      <c r="D158" s="200">
        <f t="shared" ref="D158:H158" si="38">SUM(D132,D145,D157)</f>
        <v>-7497.5</v>
      </c>
      <c r="E158" s="200">
        <f>SUM(E132,E145,E157)</f>
        <v>-1487.2000000000116</v>
      </c>
      <c r="F158" s="200">
        <f>SUM(F132,F145,F157)</f>
        <v>-6442.6999999999971</v>
      </c>
      <c r="G158" s="200">
        <f>SUM(G132,G145,G157)</f>
        <v>-2140.9000000000015</v>
      </c>
      <c r="H158" s="200">
        <f t="shared" si="38"/>
        <v>-1998.4999999999964</v>
      </c>
      <c r="I158" s="200">
        <f>SUM(I132,I145,I157)</f>
        <v>-674.79999999999927</v>
      </c>
      <c r="J158" s="200">
        <f>SUM(J132,J145,J157)</f>
        <v>-1628.5</v>
      </c>
      <c r="K158" s="193"/>
      <c r="L158" s="134"/>
    </row>
    <row r="159" spans="1:15" ht="30.75" customHeight="1">
      <c r="A159" s="123" t="s">
        <v>146</v>
      </c>
      <c r="B159" s="10">
        <v>3405</v>
      </c>
      <c r="C159" s="200">
        <v>90.9</v>
      </c>
      <c r="D159" s="200">
        <v>9267.9</v>
      </c>
      <c r="E159" s="200">
        <v>9267.9</v>
      </c>
      <c r="F159" s="200">
        <v>7780.7</v>
      </c>
      <c r="G159" s="200">
        <v>7780.7</v>
      </c>
      <c r="H159" s="200">
        <v>5639.8</v>
      </c>
      <c r="I159" s="200">
        <v>3641.3</v>
      </c>
      <c r="J159" s="200">
        <v>2966.5</v>
      </c>
      <c r="K159" s="193"/>
      <c r="L159" s="134" t="s">
        <v>520</v>
      </c>
    </row>
    <row r="160" spans="1:15" ht="30.75" customHeight="1">
      <c r="A160" s="191" t="s">
        <v>147</v>
      </c>
      <c r="B160" s="8">
        <v>3415</v>
      </c>
      <c r="C160" s="200">
        <f>SUM(C159,C158)</f>
        <v>9267.9</v>
      </c>
      <c r="D160" s="200">
        <f>SUM(D159,D158)</f>
        <v>1770.3999999999996</v>
      </c>
      <c r="E160" s="200">
        <f>SUM(E159,E158)</f>
        <v>7780.699999999988</v>
      </c>
      <c r="F160" s="200">
        <f>SUM(F159,F158)</f>
        <v>1338.0000000000027</v>
      </c>
      <c r="G160" s="200">
        <f t="shared" ref="G160:I160" si="39">SUM(G159,G158)</f>
        <v>5639.7999999999984</v>
      </c>
      <c r="H160" s="200">
        <f t="shared" si="39"/>
        <v>3641.3000000000038</v>
      </c>
      <c r="I160" s="200">
        <f t="shared" si="39"/>
        <v>2966.5000000000009</v>
      </c>
      <c r="J160" s="200">
        <f>SUM(J159,J158)</f>
        <v>1338</v>
      </c>
      <c r="K160" s="193"/>
      <c r="L160" s="134"/>
    </row>
    <row r="161" spans="1:12" ht="28.5" customHeight="1">
      <c r="A161" s="206"/>
      <c r="B161" s="10"/>
      <c r="C161" s="197"/>
      <c r="D161" s="197"/>
      <c r="E161" s="197"/>
      <c r="F161" s="197"/>
      <c r="G161" s="197"/>
      <c r="H161" s="197"/>
      <c r="I161" s="197"/>
      <c r="J161" s="197"/>
      <c r="K161" s="193"/>
      <c r="L161" s="134"/>
    </row>
    <row r="162" spans="1:12" ht="24.95" customHeight="1">
      <c r="A162" s="261" t="s">
        <v>193</v>
      </c>
      <c r="B162" s="261"/>
      <c r="C162" s="261"/>
      <c r="D162" s="261"/>
      <c r="E162" s="261"/>
      <c r="F162" s="261"/>
      <c r="G162" s="261"/>
      <c r="H162" s="261"/>
      <c r="I162" s="261"/>
      <c r="J162" s="261"/>
      <c r="K162" s="261"/>
      <c r="L162" s="134"/>
    </row>
    <row r="163" spans="1:12" ht="27.75" customHeight="1">
      <c r="A163" s="186" t="s">
        <v>56</v>
      </c>
      <c r="B163" s="187">
        <v>4000</v>
      </c>
      <c r="C163" s="9">
        <f>SUM(C164:C170)</f>
        <v>-12708.4</v>
      </c>
      <c r="D163" s="9">
        <f>SUM(D164:D170)</f>
        <v>-5258.2</v>
      </c>
      <c r="E163" s="9">
        <f>SUM(E164:E170)</f>
        <v>-12886</v>
      </c>
      <c r="F163" s="9">
        <f>SUM(G163:J163)</f>
        <v>-1750</v>
      </c>
      <c r="G163" s="9">
        <f>SUM(G164:G170)</f>
        <v>0</v>
      </c>
      <c r="H163" s="9">
        <f>SUM(H164:H170)</f>
        <v>0</v>
      </c>
      <c r="I163" s="9">
        <f>SUM(I164:I170)</f>
        <v>0</v>
      </c>
      <c r="J163" s="9">
        <f>SUM(J164:J170)</f>
        <v>-1750</v>
      </c>
      <c r="K163" s="193"/>
      <c r="L163" s="134"/>
    </row>
    <row r="164" spans="1:12" ht="37.5" customHeight="1">
      <c r="A164" s="123" t="s">
        <v>140</v>
      </c>
      <c r="B164" s="19">
        <v>4010</v>
      </c>
      <c r="C164" s="11" t="s">
        <v>68</v>
      </c>
      <c r="D164" s="11" t="s">
        <v>68</v>
      </c>
      <c r="E164" s="11" t="s">
        <v>68</v>
      </c>
      <c r="F164" s="9">
        <f t="shared" ref="F164:F168" si="40">SUM(G164:J164)</f>
        <v>0</v>
      </c>
      <c r="G164" s="11" t="s">
        <v>68</v>
      </c>
      <c r="H164" s="11" t="s">
        <v>68</v>
      </c>
      <c r="I164" s="11" t="s">
        <v>68</v>
      </c>
      <c r="J164" s="11" t="s">
        <v>68</v>
      </c>
      <c r="K164" s="193"/>
      <c r="L164" s="134"/>
    </row>
    <row r="165" spans="1:12" ht="48.75" customHeight="1">
      <c r="A165" s="123" t="s">
        <v>210</v>
      </c>
      <c r="B165" s="19">
        <v>4020</v>
      </c>
      <c r="C165" s="11">
        <v>-8936.9</v>
      </c>
      <c r="D165" s="11">
        <v>-3000</v>
      </c>
      <c r="E165" s="11">
        <v>-10683.2</v>
      </c>
      <c r="F165" s="11">
        <f t="shared" si="40"/>
        <v>-1750</v>
      </c>
      <c r="G165" s="11" t="s">
        <v>250</v>
      </c>
      <c r="H165" s="11" t="s">
        <v>68</v>
      </c>
      <c r="I165" s="11" t="s">
        <v>68</v>
      </c>
      <c r="J165" s="11">
        <v>-1750</v>
      </c>
      <c r="K165" s="193"/>
      <c r="L165" s="134"/>
    </row>
    <row r="166" spans="1:12" ht="60.75" customHeight="1">
      <c r="A166" s="123" t="s">
        <v>163</v>
      </c>
      <c r="B166" s="19">
        <v>4030</v>
      </c>
      <c r="C166" s="11" t="s">
        <v>68</v>
      </c>
      <c r="D166" s="11" t="s">
        <v>68</v>
      </c>
      <c r="E166" s="11" t="s">
        <v>68</v>
      </c>
      <c r="F166" s="9">
        <f t="shared" ref="F166" si="41">SUM(G166:J166)</f>
        <v>0</v>
      </c>
      <c r="G166" s="11" t="s">
        <v>68</v>
      </c>
      <c r="H166" s="11" t="s">
        <v>68</v>
      </c>
      <c r="I166" s="11" t="s">
        <v>68</v>
      </c>
      <c r="J166" s="11" t="s">
        <v>68</v>
      </c>
      <c r="K166" s="11" t="e">
        <f>-'Розшифровка кап'!#REF!</f>
        <v>#REF!</v>
      </c>
      <c r="L166" s="134"/>
    </row>
    <row r="167" spans="1:12" ht="49.5" customHeight="1">
      <c r="A167" s="123" t="s">
        <v>139</v>
      </c>
      <c r="B167" s="19">
        <v>4040</v>
      </c>
      <c r="C167" s="11" t="s">
        <v>68</v>
      </c>
      <c r="D167" s="11" t="s">
        <v>68</v>
      </c>
      <c r="E167" s="11" t="s">
        <v>68</v>
      </c>
      <c r="F167" s="9">
        <f t="shared" si="40"/>
        <v>0</v>
      </c>
      <c r="G167" s="11" t="s">
        <v>68</v>
      </c>
      <c r="H167" s="11" t="s">
        <v>68</v>
      </c>
      <c r="I167" s="11" t="s">
        <v>68</v>
      </c>
      <c r="J167" s="11" t="s">
        <v>68</v>
      </c>
      <c r="K167" s="193"/>
      <c r="L167" s="134"/>
    </row>
    <row r="168" spans="1:12" ht="73.5" customHeight="1">
      <c r="A168" s="123" t="s">
        <v>141</v>
      </c>
      <c r="B168" s="19">
        <v>4050</v>
      </c>
      <c r="C168" s="11" t="s">
        <v>68</v>
      </c>
      <c r="D168" s="11" t="s">
        <v>68</v>
      </c>
      <c r="E168" s="11" t="s">
        <v>68</v>
      </c>
      <c r="F168" s="9">
        <f t="shared" si="40"/>
        <v>0</v>
      </c>
      <c r="G168" s="11" t="s">
        <v>68</v>
      </c>
      <c r="H168" s="11" t="s">
        <v>68</v>
      </c>
      <c r="I168" s="11" t="s">
        <v>68</v>
      </c>
      <c r="J168" s="11" t="s">
        <v>68</v>
      </c>
      <c r="K168" s="193"/>
      <c r="L168" s="134"/>
    </row>
    <row r="169" spans="1:12" ht="36.75" customHeight="1">
      <c r="A169" s="123" t="s">
        <v>142</v>
      </c>
      <c r="B169" s="19">
        <v>4060</v>
      </c>
      <c r="C169" s="11">
        <v>-3771.5</v>
      </c>
      <c r="D169" s="11">
        <v>-2258.1999999999998</v>
      </c>
      <c r="E169" s="11">
        <v>-2202.8000000000002</v>
      </c>
      <c r="F169" s="9">
        <f t="shared" ref="F169:F170" si="42">SUM(G169:J169)</f>
        <v>0</v>
      </c>
      <c r="G169" s="11">
        <f>-'Розшифровка кап'!G46</f>
        <v>0</v>
      </c>
      <c r="H169" s="11">
        <f>-'Розшифровка кап'!H46</f>
        <v>0</v>
      </c>
      <c r="I169" s="11" t="s">
        <v>250</v>
      </c>
      <c r="J169" s="11" t="s">
        <v>250</v>
      </c>
      <c r="K169" s="193"/>
      <c r="L169" s="134"/>
    </row>
    <row r="170" spans="1:12" ht="39.75" customHeight="1">
      <c r="A170" s="123" t="s">
        <v>114</v>
      </c>
      <c r="B170" s="19">
        <v>4070</v>
      </c>
      <c r="C170" s="11" t="s">
        <v>68</v>
      </c>
      <c r="D170" s="11" t="s">
        <v>68</v>
      </c>
      <c r="E170" s="11" t="s">
        <v>68</v>
      </c>
      <c r="F170" s="9">
        <f t="shared" si="42"/>
        <v>0</v>
      </c>
      <c r="G170" s="11" t="s">
        <v>68</v>
      </c>
      <c r="H170" s="11" t="s">
        <v>68</v>
      </c>
      <c r="I170" s="11" t="s">
        <v>68</v>
      </c>
      <c r="J170" s="11" t="s">
        <v>68</v>
      </c>
      <c r="K170" s="193"/>
      <c r="L170" s="134"/>
    </row>
    <row r="171" spans="1:12" s="76" customFormat="1" ht="29.25" customHeight="1">
      <c r="A171" s="258" t="s">
        <v>194</v>
      </c>
      <c r="B171" s="258"/>
      <c r="C171" s="258"/>
      <c r="D171" s="258"/>
      <c r="E171" s="258"/>
      <c r="F171" s="258"/>
      <c r="G171" s="258"/>
      <c r="H171" s="258"/>
      <c r="I171" s="258"/>
      <c r="J171" s="258"/>
      <c r="K171" s="258"/>
      <c r="L171" s="134"/>
    </row>
    <row r="172" spans="1:12" ht="48.75" customHeight="1">
      <c r="A172" s="186" t="s">
        <v>101</v>
      </c>
      <c r="B172" s="187" t="s">
        <v>73</v>
      </c>
      <c r="C172" s="9">
        <f>SUM(C173:C175)</f>
        <v>0</v>
      </c>
      <c r="D172" s="9">
        <f t="shared" ref="D172:J172" si="43">SUM(D173:D175)</f>
        <v>0</v>
      </c>
      <c r="E172" s="9">
        <f t="shared" si="43"/>
        <v>0</v>
      </c>
      <c r="F172" s="9">
        <f>SUM(G172:J172)</f>
        <v>0</v>
      </c>
      <c r="G172" s="9">
        <f t="shared" si="43"/>
        <v>0</v>
      </c>
      <c r="H172" s="9">
        <f t="shared" si="43"/>
        <v>0</v>
      </c>
      <c r="I172" s="9">
        <f t="shared" si="43"/>
        <v>0</v>
      </c>
      <c r="J172" s="9">
        <f t="shared" si="43"/>
        <v>0</v>
      </c>
      <c r="K172" s="193">
        <f>SUM(K173:K175)</f>
        <v>0</v>
      </c>
      <c r="L172" s="134"/>
    </row>
    <row r="173" spans="1:12" ht="36.75" customHeight="1">
      <c r="A173" s="188" t="s">
        <v>164</v>
      </c>
      <c r="B173" s="19" t="s">
        <v>74</v>
      </c>
      <c r="C173" s="11"/>
      <c r="D173" s="11"/>
      <c r="E173" s="11"/>
      <c r="F173" s="9">
        <f t="shared" ref="F173:F179" si="44">SUM(G173:J173)</f>
        <v>0</v>
      </c>
      <c r="G173" s="11"/>
      <c r="H173" s="11"/>
      <c r="I173" s="11"/>
      <c r="J173" s="11"/>
      <c r="K173" s="193"/>
      <c r="L173" s="134"/>
    </row>
    <row r="174" spans="1:12" ht="34.5" customHeight="1">
      <c r="A174" s="188" t="s">
        <v>165</v>
      </c>
      <c r="B174" s="19" t="s">
        <v>75</v>
      </c>
      <c r="C174" s="11"/>
      <c r="D174" s="11"/>
      <c r="E174" s="11"/>
      <c r="F174" s="9">
        <f t="shared" si="44"/>
        <v>0</v>
      </c>
      <c r="G174" s="11"/>
      <c r="H174" s="11"/>
      <c r="I174" s="11"/>
      <c r="J174" s="11"/>
      <c r="K174" s="193"/>
      <c r="L174" s="134"/>
    </row>
    <row r="175" spans="1:12" ht="35.25" customHeight="1">
      <c r="A175" s="188" t="s">
        <v>166</v>
      </c>
      <c r="B175" s="19" t="s">
        <v>76</v>
      </c>
      <c r="C175" s="11"/>
      <c r="D175" s="11"/>
      <c r="E175" s="11"/>
      <c r="F175" s="9">
        <f t="shared" si="44"/>
        <v>0</v>
      </c>
      <c r="G175" s="11"/>
      <c r="H175" s="11"/>
      <c r="I175" s="11"/>
      <c r="J175" s="11"/>
      <c r="K175" s="193"/>
      <c r="L175" s="134"/>
    </row>
    <row r="176" spans="1:12" ht="46.5" customHeight="1">
      <c r="A176" s="186" t="s">
        <v>102</v>
      </c>
      <c r="B176" s="187" t="s">
        <v>77</v>
      </c>
      <c r="C176" s="9">
        <f>SUM(C177:C179)</f>
        <v>0</v>
      </c>
      <c r="D176" s="9">
        <f t="shared" ref="D176:J176" si="45">SUM(D177:D179)</f>
        <v>0</v>
      </c>
      <c r="E176" s="9">
        <f t="shared" si="45"/>
        <v>0</v>
      </c>
      <c r="F176" s="9">
        <f t="shared" si="44"/>
        <v>0</v>
      </c>
      <c r="G176" s="9">
        <f t="shared" si="45"/>
        <v>0</v>
      </c>
      <c r="H176" s="9">
        <f t="shared" si="45"/>
        <v>0</v>
      </c>
      <c r="I176" s="9">
        <f t="shared" si="45"/>
        <v>0</v>
      </c>
      <c r="J176" s="9">
        <f t="shared" si="45"/>
        <v>0</v>
      </c>
      <c r="K176" s="193">
        <f>SUM(K177:K179)</f>
        <v>0</v>
      </c>
      <c r="L176" s="134"/>
    </row>
    <row r="177" spans="1:12" ht="36.75" customHeight="1">
      <c r="A177" s="188" t="s">
        <v>164</v>
      </c>
      <c r="B177" s="19" t="s">
        <v>78</v>
      </c>
      <c r="C177" s="11"/>
      <c r="D177" s="11"/>
      <c r="E177" s="11"/>
      <c r="F177" s="9">
        <f t="shared" si="44"/>
        <v>0</v>
      </c>
      <c r="G177" s="11"/>
      <c r="H177" s="11"/>
      <c r="I177" s="11"/>
      <c r="J177" s="11"/>
      <c r="K177" s="193"/>
      <c r="L177" s="134"/>
    </row>
    <row r="178" spans="1:12" ht="36.75" customHeight="1">
      <c r="A178" s="188" t="s">
        <v>165</v>
      </c>
      <c r="B178" s="19" t="s">
        <v>79</v>
      </c>
      <c r="C178" s="11"/>
      <c r="D178" s="11"/>
      <c r="E178" s="11"/>
      <c r="F178" s="9">
        <f t="shared" si="44"/>
        <v>0</v>
      </c>
      <c r="G178" s="11"/>
      <c r="H178" s="11"/>
      <c r="I178" s="11"/>
      <c r="J178" s="11"/>
      <c r="K178" s="193"/>
      <c r="L178" s="134"/>
    </row>
    <row r="179" spans="1:12" ht="34.5" customHeight="1">
      <c r="A179" s="188" t="s">
        <v>166</v>
      </c>
      <c r="B179" s="19" t="s">
        <v>80</v>
      </c>
      <c r="C179" s="11"/>
      <c r="D179" s="11"/>
      <c r="E179" s="11"/>
      <c r="F179" s="9">
        <f t="shared" si="44"/>
        <v>0</v>
      </c>
      <c r="G179" s="11"/>
      <c r="H179" s="11"/>
      <c r="I179" s="11"/>
      <c r="J179" s="11"/>
      <c r="K179" s="193"/>
      <c r="L179" s="134"/>
    </row>
    <row r="180" spans="1:12" ht="34.5" customHeight="1">
      <c r="A180" s="258" t="s">
        <v>195</v>
      </c>
      <c r="B180" s="258"/>
      <c r="C180" s="258"/>
      <c r="D180" s="258"/>
      <c r="E180" s="258"/>
      <c r="F180" s="258"/>
      <c r="G180" s="258"/>
      <c r="H180" s="258"/>
      <c r="I180" s="258"/>
      <c r="J180" s="258"/>
      <c r="K180" s="258"/>
      <c r="L180" s="134"/>
    </row>
    <row r="181" spans="1:12" s="124" customFormat="1" ht="86.25" customHeight="1">
      <c r="A181" s="196" t="s">
        <v>127</v>
      </c>
      <c r="B181" s="207" t="s">
        <v>81</v>
      </c>
      <c r="C181" s="122">
        <v>254</v>
      </c>
      <c r="D181" s="122">
        <v>254</v>
      </c>
      <c r="E181" s="122">
        <f t="shared" ref="E181:F181" si="46">SUM(E182:E184)</f>
        <v>242</v>
      </c>
      <c r="F181" s="122">
        <f t="shared" si="46"/>
        <v>242</v>
      </c>
      <c r="G181" s="208" t="s">
        <v>57</v>
      </c>
      <c r="H181" s="208" t="s">
        <v>18</v>
      </c>
      <c r="I181" s="208" t="s">
        <v>57</v>
      </c>
      <c r="J181" s="208" t="s">
        <v>57</v>
      </c>
      <c r="K181" s="208" t="s">
        <v>57</v>
      </c>
      <c r="L181" s="134">
        <v>244</v>
      </c>
    </row>
    <row r="182" spans="1:12" ht="27.75" customHeight="1">
      <c r="A182" s="188" t="s">
        <v>62</v>
      </c>
      <c r="B182" s="19" t="s">
        <v>82</v>
      </c>
      <c r="C182" s="209">
        <v>1</v>
      </c>
      <c r="D182" s="209">
        <v>1</v>
      </c>
      <c r="E182" s="209">
        <v>1</v>
      </c>
      <c r="F182" s="209">
        <v>1</v>
      </c>
      <c r="G182" s="193" t="s">
        <v>57</v>
      </c>
      <c r="H182" s="193" t="s">
        <v>18</v>
      </c>
      <c r="I182" s="193" t="s">
        <v>57</v>
      </c>
      <c r="J182" s="193" t="s">
        <v>57</v>
      </c>
      <c r="K182" s="193" t="s">
        <v>57</v>
      </c>
      <c r="L182" s="134"/>
    </row>
    <row r="183" spans="1:12" ht="27.75" customHeight="1">
      <c r="A183" s="188" t="s">
        <v>65</v>
      </c>
      <c r="B183" s="19" t="s">
        <v>83</v>
      </c>
      <c r="C183" s="209">
        <v>41</v>
      </c>
      <c r="D183" s="209">
        <v>41</v>
      </c>
      <c r="E183" s="209">
        <v>48</v>
      </c>
      <c r="F183" s="209">
        <v>48</v>
      </c>
      <c r="G183" s="193" t="s">
        <v>57</v>
      </c>
      <c r="H183" s="193" t="s">
        <v>18</v>
      </c>
      <c r="I183" s="193" t="s">
        <v>57</v>
      </c>
      <c r="J183" s="193" t="s">
        <v>57</v>
      </c>
      <c r="K183" s="193" t="s">
        <v>57</v>
      </c>
      <c r="L183" s="134"/>
    </row>
    <row r="184" spans="1:12" ht="27.75" customHeight="1">
      <c r="A184" s="188" t="s">
        <v>63</v>
      </c>
      <c r="B184" s="19" t="s">
        <v>84</v>
      </c>
      <c r="C184" s="209">
        <v>212</v>
      </c>
      <c r="D184" s="209">
        <v>212</v>
      </c>
      <c r="E184" s="209">
        <v>193</v>
      </c>
      <c r="F184" s="209">
        <v>193</v>
      </c>
      <c r="G184" s="193" t="s">
        <v>57</v>
      </c>
      <c r="H184" s="193" t="s">
        <v>18</v>
      </c>
      <c r="I184" s="193" t="s">
        <v>57</v>
      </c>
      <c r="J184" s="193" t="s">
        <v>57</v>
      </c>
      <c r="K184" s="193" t="s">
        <v>57</v>
      </c>
      <c r="L184" s="134"/>
    </row>
    <row r="185" spans="1:12" ht="27.75" customHeight="1">
      <c r="A185" s="186" t="s">
        <v>167</v>
      </c>
      <c r="B185" s="187" t="s">
        <v>85</v>
      </c>
      <c r="C185" s="9">
        <f>SUM(C186:C188)</f>
        <v>26236.699999999997</v>
      </c>
      <c r="D185" s="9">
        <f>SUM(D186:D188)</f>
        <v>43554.400000000001</v>
      </c>
      <c r="E185" s="9">
        <f>SUM(E186:E188)</f>
        <v>39731.5</v>
      </c>
      <c r="F185" s="9">
        <f>SUM(F186:F188)</f>
        <v>51794.8</v>
      </c>
      <c r="G185" s="193" t="s">
        <v>57</v>
      </c>
      <c r="H185" s="193" t="s">
        <v>18</v>
      </c>
      <c r="I185" s="193" t="s">
        <v>57</v>
      </c>
      <c r="J185" s="193" t="s">
        <v>57</v>
      </c>
      <c r="K185" s="193" t="s">
        <v>57</v>
      </c>
      <c r="L185" s="134"/>
    </row>
    <row r="186" spans="1:12" ht="27.75" customHeight="1">
      <c r="A186" s="188" t="s">
        <v>62</v>
      </c>
      <c r="B186" s="19">
        <v>8011</v>
      </c>
      <c r="C186" s="11">
        <v>326.89999999999998</v>
      </c>
      <c r="D186" s="11">
        <v>326.89999999999998</v>
      </c>
      <c r="E186" s="11">
        <v>470.7</v>
      </c>
      <c r="F186" s="11">
        <v>520.29999999999995</v>
      </c>
      <c r="G186" s="193" t="s">
        <v>18</v>
      </c>
      <c r="H186" s="193" t="s">
        <v>18</v>
      </c>
      <c r="I186" s="193" t="s">
        <v>18</v>
      </c>
      <c r="J186" s="193" t="s">
        <v>18</v>
      </c>
      <c r="K186" s="193"/>
      <c r="L186" s="134"/>
    </row>
    <row r="187" spans="1:12" ht="27.75" customHeight="1">
      <c r="A187" s="188" t="s">
        <v>65</v>
      </c>
      <c r="B187" s="19">
        <v>8012</v>
      </c>
      <c r="C187" s="11">
        <v>4666.7</v>
      </c>
      <c r="D187" s="11">
        <v>4666.7</v>
      </c>
      <c r="E187" s="11">
        <f>5152.4+132</f>
        <v>5284.4</v>
      </c>
      <c r="F187" s="11">
        <f>10743.7-427.7-600</f>
        <v>9716</v>
      </c>
      <c r="G187" s="193" t="s">
        <v>18</v>
      </c>
      <c r="H187" s="193" t="s">
        <v>18</v>
      </c>
      <c r="I187" s="193" t="s">
        <v>18</v>
      </c>
      <c r="J187" s="193" t="s">
        <v>18</v>
      </c>
      <c r="K187" s="193"/>
      <c r="L187" s="134"/>
    </row>
    <row r="188" spans="1:12" ht="27.75" customHeight="1">
      <c r="A188" s="188" t="s">
        <v>63</v>
      </c>
      <c r="B188" s="19">
        <v>8013</v>
      </c>
      <c r="C188" s="11">
        <v>21243.1</v>
      </c>
      <c r="D188" s="11">
        <v>38560.800000000003</v>
      </c>
      <c r="E188" s="11">
        <f>34108.4-132</f>
        <v>33976.400000000001</v>
      </c>
      <c r="F188" s="11">
        <f>40958.5+600</f>
        <v>41558.5</v>
      </c>
      <c r="G188" s="193" t="s">
        <v>18</v>
      </c>
      <c r="H188" s="193" t="s">
        <v>18</v>
      </c>
      <c r="I188" s="193" t="s">
        <v>18</v>
      </c>
      <c r="J188" s="193" t="s">
        <v>18</v>
      </c>
      <c r="K188" s="193"/>
      <c r="L188" s="134"/>
    </row>
    <row r="189" spans="1:12" ht="27.75" customHeight="1">
      <c r="A189" s="186" t="s">
        <v>1</v>
      </c>
      <c r="B189" s="187">
        <v>8020</v>
      </c>
      <c r="C189" s="9">
        <f>SUM(C190:C192)</f>
        <v>26236.699999999997</v>
      </c>
      <c r="D189" s="9">
        <f>SUM(D190:D192)</f>
        <v>43554.400000000001</v>
      </c>
      <c r="E189" s="9">
        <f>SUM(E190:E192)</f>
        <v>39731.5</v>
      </c>
      <c r="F189" s="9">
        <f>SUM(F190:F192)</f>
        <v>51794.8</v>
      </c>
      <c r="G189" s="193" t="s">
        <v>57</v>
      </c>
      <c r="H189" s="193" t="s">
        <v>18</v>
      </c>
      <c r="I189" s="193" t="s">
        <v>57</v>
      </c>
      <c r="J189" s="193" t="s">
        <v>57</v>
      </c>
      <c r="K189" s="193" t="s">
        <v>57</v>
      </c>
      <c r="L189" s="134"/>
    </row>
    <row r="190" spans="1:12" ht="27.75" customHeight="1">
      <c r="A190" s="188" t="s">
        <v>62</v>
      </c>
      <c r="B190" s="19">
        <v>8021</v>
      </c>
      <c r="C190" s="11">
        <f>C186</f>
        <v>326.89999999999998</v>
      </c>
      <c r="D190" s="11">
        <f>D186</f>
        <v>326.89999999999998</v>
      </c>
      <c r="E190" s="11">
        <f>E186</f>
        <v>470.7</v>
      </c>
      <c r="F190" s="11">
        <f>F186</f>
        <v>520.29999999999995</v>
      </c>
      <c r="G190" s="193" t="s">
        <v>18</v>
      </c>
      <c r="H190" s="193" t="s">
        <v>18</v>
      </c>
      <c r="I190" s="193" t="s">
        <v>18</v>
      </c>
      <c r="J190" s="193" t="s">
        <v>18</v>
      </c>
      <c r="K190" s="193"/>
      <c r="L190" s="134"/>
    </row>
    <row r="191" spans="1:12" ht="27.75" customHeight="1">
      <c r="A191" s="188" t="s">
        <v>65</v>
      </c>
      <c r="B191" s="19">
        <v>8022</v>
      </c>
      <c r="C191" s="11">
        <f>C187</f>
        <v>4666.7</v>
      </c>
      <c r="D191" s="11">
        <f t="shared" ref="D191:D192" si="47">D187</f>
        <v>4666.7</v>
      </c>
      <c r="E191" s="11">
        <f>E187</f>
        <v>5284.4</v>
      </c>
      <c r="F191" s="11">
        <f>F187</f>
        <v>9716</v>
      </c>
      <c r="G191" s="193" t="s">
        <v>18</v>
      </c>
      <c r="H191" s="193" t="s">
        <v>18</v>
      </c>
      <c r="I191" s="193" t="s">
        <v>18</v>
      </c>
      <c r="J191" s="193" t="s">
        <v>18</v>
      </c>
      <c r="K191" s="193"/>
      <c r="L191" s="134"/>
    </row>
    <row r="192" spans="1:12" ht="27.75" customHeight="1">
      <c r="A192" s="188" t="s">
        <v>63</v>
      </c>
      <c r="B192" s="19">
        <v>8023</v>
      </c>
      <c r="C192" s="11">
        <f>C188</f>
        <v>21243.1</v>
      </c>
      <c r="D192" s="11">
        <f t="shared" si="47"/>
        <v>38560.800000000003</v>
      </c>
      <c r="E192" s="11">
        <f>E188</f>
        <v>33976.400000000001</v>
      </c>
      <c r="F192" s="11">
        <f>F188</f>
        <v>41558.5</v>
      </c>
      <c r="G192" s="193" t="s">
        <v>18</v>
      </c>
      <c r="H192" s="193" t="s">
        <v>18</v>
      </c>
      <c r="I192" s="193" t="s">
        <v>18</v>
      </c>
      <c r="J192" s="193" t="s">
        <v>18</v>
      </c>
      <c r="K192" s="193"/>
      <c r="L192" s="134"/>
    </row>
    <row r="193" spans="1:12" s="124" customFormat="1" ht="59.25" customHeight="1">
      <c r="A193" s="196" t="s">
        <v>113</v>
      </c>
      <c r="B193" s="207" t="s">
        <v>168</v>
      </c>
      <c r="C193" s="210">
        <f t="shared" ref="C193:F193" si="48">(C189/C181)/12*1000</f>
        <v>8607.8412073490799</v>
      </c>
      <c r="D193" s="210">
        <f>(D189/D181)/12*1000</f>
        <v>14289.501312335957</v>
      </c>
      <c r="E193" s="210">
        <f t="shared" si="48"/>
        <v>13681.646005509641</v>
      </c>
      <c r="F193" s="210">
        <f t="shared" si="48"/>
        <v>17835.674931129477</v>
      </c>
      <c r="G193" s="208" t="s">
        <v>57</v>
      </c>
      <c r="H193" s="208" t="s">
        <v>18</v>
      </c>
      <c r="I193" s="208" t="s">
        <v>57</v>
      </c>
      <c r="J193" s="208" t="s">
        <v>57</v>
      </c>
      <c r="K193" s="208" t="s">
        <v>57</v>
      </c>
      <c r="L193" s="134" t="s">
        <v>523</v>
      </c>
    </row>
    <row r="194" spans="1:12" ht="27.75" customHeight="1">
      <c r="A194" s="188" t="s">
        <v>62</v>
      </c>
      <c r="B194" s="19">
        <v>8031</v>
      </c>
      <c r="C194" s="211">
        <f>(C190/C182)/12*1000</f>
        <v>27241.666666666664</v>
      </c>
      <c r="D194" s="211">
        <f>(D190/D182)/12*1000</f>
        <v>27241.666666666664</v>
      </c>
      <c r="E194" s="211">
        <f t="shared" ref="E194:F196" si="49">(E190/E182)/12*1000</f>
        <v>39225</v>
      </c>
      <c r="F194" s="211">
        <f t="shared" si="49"/>
        <v>43358.333333333328</v>
      </c>
      <c r="G194" s="193" t="s">
        <v>57</v>
      </c>
      <c r="H194" s="193" t="s">
        <v>18</v>
      </c>
      <c r="I194" s="193" t="s">
        <v>57</v>
      </c>
      <c r="J194" s="193" t="s">
        <v>57</v>
      </c>
      <c r="K194" s="193" t="s">
        <v>57</v>
      </c>
      <c r="L194" s="134"/>
    </row>
    <row r="195" spans="1:12" ht="27.75" customHeight="1">
      <c r="A195" s="188" t="s">
        <v>65</v>
      </c>
      <c r="B195" s="19">
        <v>8032</v>
      </c>
      <c r="C195" s="211">
        <f>(C191/C183)/12*1000</f>
        <v>9485.1626016260161</v>
      </c>
      <c r="D195" s="211">
        <f t="shared" ref="D195" si="50">(D191/D183)/12*1000</f>
        <v>9485.1626016260161</v>
      </c>
      <c r="E195" s="211">
        <f t="shared" si="49"/>
        <v>9174.3055555555547</v>
      </c>
      <c r="F195" s="211">
        <f t="shared" si="49"/>
        <v>16868.055555555555</v>
      </c>
      <c r="G195" s="193" t="s">
        <v>57</v>
      </c>
      <c r="H195" s="193" t="s">
        <v>18</v>
      </c>
      <c r="I195" s="193" t="s">
        <v>57</v>
      </c>
      <c r="J195" s="193" t="s">
        <v>57</v>
      </c>
      <c r="K195" s="193" t="s">
        <v>57</v>
      </c>
      <c r="L195" s="134"/>
    </row>
    <row r="196" spans="1:12" ht="27.75" customHeight="1">
      <c r="A196" s="188" t="s">
        <v>63</v>
      </c>
      <c r="B196" s="19">
        <v>8033</v>
      </c>
      <c r="C196" s="211">
        <f>(C192/C184)/12*1000</f>
        <v>8350.2751572327034</v>
      </c>
      <c r="D196" s="211">
        <f>(D192/D184)/12*1000</f>
        <v>15157.547169811322</v>
      </c>
      <c r="E196" s="211">
        <f t="shared" si="49"/>
        <v>14670.293609671849</v>
      </c>
      <c r="F196" s="211">
        <f t="shared" si="49"/>
        <v>17944.084628670123</v>
      </c>
      <c r="G196" s="193" t="s">
        <v>57</v>
      </c>
      <c r="H196" s="193" t="s">
        <v>18</v>
      </c>
      <c r="I196" s="193" t="s">
        <v>57</v>
      </c>
      <c r="J196" s="193" t="s">
        <v>57</v>
      </c>
      <c r="K196" s="193" t="s">
        <v>57</v>
      </c>
      <c r="L196" s="134"/>
    </row>
    <row r="197" spans="1:12" ht="30.75" customHeight="1">
      <c r="B197" s="113"/>
      <c r="C197" s="113"/>
      <c r="D197" s="113"/>
      <c r="E197" s="113"/>
      <c r="K197" s="212"/>
      <c r="L197" s="134"/>
    </row>
    <row r="198" spans="1:12" s="124" customFormat="1">
      <c r="A198" s="213"/>
      <c r="C198" s="214"/>
      <c r="D198" s="215"/>
      <c r="E198" s="215"/>
      <c r="F198" s="215"/>
      <c r="G198" s="216"/>
      <c r="H198" s="216"/>
      <c r="I198" s="216"/>
      <c r="J198" s="216"/>
      <c r="K198" s="216"/>
    </row>
    <row r="199" spans="1:12" s="124" customFormat="1">
      <c r="A199" s="213"/>
      <c r="C199" s="214"/>
      <c r="D199" s="215"/>
      <c r="E199" s="215"/>
      <c r="F199" s="215"/>
      <c r="G199" s="216"/>
      <c r="H199" s="216"/>
      <c r="I199" s="216"/>
      <c r="J199" s="216"/>
      <c r="K199" s="216"/>
    </row>
    <row r="200" spans="1:12" s="124" customFormat="1" ht="28.5" customHeight="1">
      <c r="A200" s="218" t="s">
        <v>433</v>
      </c>
      <c r="B200" s="217"/>
      <c r="C200" s="259" t="s">
        <v>36</v>
      </c>
      <c r="D200" s="260"/>
      <c r="E200" s="260"/>
      <c r="F200" s="260"/>
      <c r="G200" s="36"/>
      <c r="H200" s="36"/>
      <c r="I200" s="257" t="s">
        <v>432</v>
      </c>
      <c r="J200" s="257"/>
      <c r="K200" s="257"/>
    </row>
    <row r="201" spans="1:12" s="124" customFormat="1">
      <c r="A201" s="124" t="s">
        <v>27</v>
      </c>
      <c r="B201" s="113"/>
      <c r="C201" s="239" t="s">
        <v>28</v>
      </c>
      <c r="D201" s="239"/>
      <c r="E201" s="239"/>
      <c r="F201" s="239"/>
      <c r="G201" s="227"/>
      <c r="H201" s="227"/>
      <c r="I201" s="239" t="s">
        <v>35</v>
      </c>
      <c r="J201" s="239"/>
      <c r="K201" s="239"/>
    </row>
    <row r="202" spans="1:12" s="124" customFormat="1">
      <c r="A202" s="172"/>
      <c r="F202" s="113"/>
      <c r="G202" s="113"/>
      <c r="H202" s="113"/>
      <c r="I202" s="113"/>
      <c r="J202" s="113"/>
      <c r="K202" s="113"/>
    </row>
    <row r="203" spans="1:12" s="124" customFormat="1">
      <c r="A203" s="172"/>
      <c r="F203" s="113"/>
      <c r="G203" s="113"/>
      <c r="H203" s="113"/>
      <c r="I203" s="113"/>
      <c r="J203" s="113"/>
      <c r="K203" s="113"/>
    </row>
    <row r="204" spans="1:12" s="124" customFormat="1">
      <c r="A204" s="172"/>
      <c r="F204" s="113"/>
      <c r="G204" s="113"/>
      <c r="H204" s="113"/>
      <c r="I204" s="113"/>
      <c r="J204" s="113"/>
      <c r="K204" s="113"/>
    </row>
    <row r="205" spans="1:12" s="124" customFormat="1">
      <c r="A205" s="172"/>
      <c r="F205" s="113"/>
      <c r="G205" s="113"/>
      <c r="H205" s="113"/>
      <c r="I205" s="113"/>
      <c r="J205" s="113"/>
      <c r="K205" s="113"/>
    </row>
    <row r="206" spans="1:12" s="124" customFormat="1">
      <c r="A206" s="172"/>
      <c r="F206" s="113"/>
      <c r="G206" s="113"/>
      <c r="H206" s="113"/>
      <c r="I206" s="113"/>
      <c r="J206" s="113"/>
      <c r="K206" s="113"/>
    </row>
    <row r="207" spans="1:12" s="124" customFormat="1">
      <c r="A207" s="172"/>
      <c r="F207" s="113"/>
      <c r="G207" s="113"/>
      <c r="H207" s="113"/>
      <c r="I207" s="113"/>
      <c r="J207" s="113"/>
      <c r="K207" s="113"/>
    </row>
    <row r="208" spans="1:12" s="124" customFormat="1">
      <c r="A208" s="172"/>
      <c r="F208" s="113"/>
      <c r="G208" s="113"/>
      <c r="H208" s="113"/>
      <c r="I208" s="113"/>
      <c r="J208" s="113"/>
      <c r="K208" s="113"/>
    </row>
    <row r="209" spans="1:11" s="124" customFormat="1">
      <c r="A209" s="172"/>
      <c r="F209" s="113"/>
      <c r="G209" s="113"/>
      <c r="H209" s="113"/>
      <c r="I209" s="113"/>
      <c r="J209" s="113"/>
      <c r="K209" s="113"/>
    </row>
    <row r="210" spans="1:11" s="124" customFormat="1">
      <c r="A210" s="172"/>
      <c r="F210" s="113"/>
      <c r="G210" s="113"/>
      <c r="H210" s="113"/>
      <c r="I210" s="113"/>
      <c r="J210" s="113"/>
      <c r="K210" s="113"/>
    </row>
    <row r="211" spans="1:11" s="124" customFormat="1">
      <c r="A211" s="172"/>
      <c r="F211" s="113"/>
      <c r="G211" s="113"/>
      <c r="H211" s="113"/>
      <c r="I211" s="113"/>
      <c r="J211" s="113"/>
      <c r="K211" s="113"/>
    </row>
    <row r="212" spans="1:11" s="124" customFormat="1">
      <c r="A212" s="172"/>
      <c r="F212" s="113"/>
      <c r="G212" s="113"/>
      <c r="H212" s="113"/>
      <c r="I212" s="113"/>
      <c r="J212" s="113"/>
      <c r="K212" s="113"/>
    </row>
    <row r="213" spans="1:11" s="124" customFormat="1">
      <c r="A213" s="172"/>
      <c r="F213" s="113"/>
      <c r="G213" s="113"/>
      <c r="H213" s="113"/>
      <c r="I213" s="113"/>
      <c r="J213" s="113"/>
      <c r="K213" s="113"/>
    </row>
    <row r="214" spans="1:11" s="124" customFormat="1">
      <c r="A214" s="172"/>
      <c r="F214" s="113"/>
      <c r="G214" s="113"/>
      <c r="H214" s="113"/>
      <c r="I214" s="113"/>
      <c r="J214" s="113"/>
      <c r="K214" s="113"/>
    </row>
    <row r="215" spans="1:11" s="124" customFormat="1">
      <c r="A215" s="172"/>
      <c r="F215" s="113"/>
      <c r="G215" s="113"/>
      <c r="H215" s="113"/>
      <c r="I215" s="113"/>
      <c r="J215" s="113"/>
      <c r="K215" s="113"/>
    </row>
    <row r="216" spans="1:11" s="124" customFormat="1">
      <c r="A216" s="172"/>
      <c r="F216" s="113"/>
      <c r="G216" s="113"/>
      <c r="H216" s="113"/>
      <c r="I216" s="113"/>
      <c r="J216" s="113"/>
      <c r="K216" s="113"/>
    </row>
    <row r="217" spans="1:11" s="124" customFormat="1">
      <c r="A217" s="172"/>
      <c r="F217" s="113"/>
      <c r="G217" s="113"/>
      <c r="H217" s="113"/>
      <c r="I217" s="113"/>
      <c r="J217" s="113"/>
      <c r="K217" s="113"/>
    </row>
    <row r="218" spans="1:11" s="124" customFormat="1">
      <c r="A218" s="172"/>
      <c r="F218" s="113"/>
      <c r="G218" s="113"/>
      <c r="H218" s="113"/>
      <c r="I218" s="113"/>
      <c r="J218" s="113"/>
      <c r="K218" s="113"/>
    </row>
    <row r="219" spans="1:11" s="124" customFormat="1">
      <c r="A219" s="172"/>
      <c r="F219" s="113"/>
      <c r="G219" s="113"/>
      <c r="H219" s="113"/>
      <c r="I219" s="113"/>
      <c r="J219" s="113"/>
      <c r="K219" s="113"/>
    </row>
    <row r="220" spans="1:11" s="124" customFormat="1">
      <c r="A220" s="172"/>
      <c r="F220" s="113"/>
      <c r="G220" s="113"/>
      <c r="H220" s="113"/>
      <c r="I220" s="113"/>
      <c r="J220" s="113"/>
      <c r="K220" s="113"/>
    </row>
    <row r="221" spans="1:11" s="124" customFormat="1">
      <c r="A221" s="172"/>
      <c r="F221" s="113"/>
      <c r="G221" s="113"/>
      <c r="H221" s="113"/>
      <c r="I221" s="113"/>
      <c r="J221" s="113"/>
      <c r="K221" s="113"/>
    </row>
    <row r="222" spans="1:11" s="124" customFormat="1">
      <c r="A222" s="172"/>
      <c r="F222" s="113"/>
      <c r="G222" s="113"/>
      <c r="H222" s="113"/>
      <c r="I222" s="113"/>
      <c r="J222" s="113"/>
      <c r="K222" s="113"/>
    </row>
    <row r="223" spans="1:11" s="124" customFormat="1">
      <c r="A223" s="172"/>
      <c r="F223" s="113"/>
      <c r="G223" s="113"/>
      <c r="H223" s="113"/>
      <c r="I223" s="113"/>
      <c r="J223" s="113"/>
      <c r="K223" s="113"/>
    </row>
    <row r="224" spans="1:11" s="124" customFormat="1">
      <c r="A224" s="172"/>
      <c r="F224" s="113"/>
      <c r="G224" s="113"/>
      <c r="H224" s="113"/>
      <c r="I224" s="113"/>
      <c r="J224" s="113"/>
      <c r="K224" s="113"/>
    </row>
    <row r="225" spans="1:11" s="124" customFormat="1">
      <c r="A225" s="172"/>
      <c r="F225" s="113"/>
      <c r="G225" s="113"/>
      <c r="H225" s="113"/>
      <c r="I225" s="113"/>
      <c r="J225" s="113"/>
      <c r="K225" s="113"/>
    </row>
    <row r="226" spans="1:11" s="124" customFormat="1">
      <c r="A226" s="172"/>
      <c r="F226" s="113"/>
      <c r="G226" s="113"/>
      <c r="H226" s="113"/>
      <c r="I226" s="113"/>
      <c r="J226" s="113"/>
      <c r="K226" s="113"/>
    </row>
    <row r="227" spans="1:11" s="124" customFormat="1">
      <c r="A227" s="172"/>
      <c r="F227" s="113"/>
      <c r="G227" s="113"/>
      <c r="H227" s="113"/>
      <c r="I227" s="113"/>
      <c r="J227" s="113"/>
      <c r="K227" s="113"/>
    </row>
    <row r="228" spans="1:11" s="124" customFormat="1">
      <c r="A228" s="172"/>
      <c r="F228" s="113"/>
      <c r="G228" s="113"/>
      <c r="H228" s="113"/>
      <c r="I228" s="113"/>
      <c r="J228" s="113"/>
      <c r="K228" s="113"/>
    </row>
    <row r="229" spans="1:11" s="124" customFormat="1">
      <c r="A229" s="172"/>
      <c r="F229" s="113"/>
      <c r="G229" s="113"/>
      <c r="H229" s="113"/>
      <c r="I229" s="113"/>
      <c r="J229" s="113"/>
      <c r="K229" s="113"/>
    </row>
    <row r="230" spans="1:11" s="124" customFormat="1">
      <c r="A230" s="172"/>
      <c r="F230" s="113"/>
      <c r="G230" s="113"/>
      <c r="H230" s="113"/>
      <c r="I230" s="113"/>
      <c r="J230" s="113"/>
      <c r="K230" s="113"/>
    </row>
    <row r="231" spans="1:11" s="124" customFormat="1">
      <c r="A231" s="172"/>
      <c r="F231" s="113"/>
      <c r="G231" s="113"/>
      <c r="H231" s="113"/>
      <c r="I231" s="113"/>
      <c r="J231" s="113"/>
      <c r="K231" s="113"/>
    </row>
    <row r="232" spans="1:11" s="124" customFormat="1">
      <c r="A232" s="172"/>
      <c r="F232" s="113"/>
      <c r="G232" s="113"/>
      <c r="H232" s="113"/>
      <c r="I232" s="113"/>
      <c r="J232" s="113"/>
      <c r="K232" s="113"/>
    </row>
    <row r="233" spans="1:11" s="124" customFormat="1">
      <c r="A233" s="172"/>
      <c r="F233" s="113"/>
      <c r="G233" s="113"/>
      <c r="H233" s="113"/>
      <c r="I233" s="113"/>
      <c r="J233" s="113"/>
      <c r="K233" s="113"/>
    </row>
    <row r="234" spans="1:11" s="124" customFormat="1">
      <c r="A234" s="172"/>
      <c r="F234" s="113"/>
      <c r="G234" s="113"/>
      <c r="H234" s="113"/>
      <c r="I234" s="113"/>
      <c r="J234" s="113"/>
      <c r="K234" s="113"/>
    </row>
    <row r="235" spans="1:11" s="124" customFormat="1">
      <c r="A235" s="172"/>
      <c r="F235" s="113"/>
      <c r="G235" s="113"/>
      <c r="H235" s="113"/>
      <c r="I235" s="113"/>
      <c r="J235" s="113"/>
      <c r="K235" s="113"/>
    </row>
    <row r="236" spans="1:11" s="124" customFormat="1">
      <c r="A236" s="172"/>
      <c r="F236" s="113"/>
      <c r="G236" s="113"/>
      <c r="H236" s="113"/>
      <c r="I236" s="113"/>
      <c r="J236" s="113"/>
      <c r="K236" s="113"/>
    </row>
    <row r="237" spans="1:11" s="124" customFormat="1">
      <c r="A237" s="172"/>
      <c r="F237" s="113"/>
      <c r="G237" s="113"/>
      <c r="H237" s="113"/>
      <c r="I237" s="113"/>
      <c r="J237" s="113"/>
      <c r="K237" s="113"/>
    </row>
    <row r="238" spans="1:11" s="124" customFormat="1">
      <c r="A238" s="172"/>
      <c r="F238" s="113"/>
      <c r="G238" s="113"/>
      <c r="H238" s="113"/>
      <c r="I238" s="113"/>
      <c r="J238" s="113"/>
      <c r="K238" s="113"/>
    </row>
    <row r="239" spans="1:11" s="124" customFormat="1">
      <c r="A239" s="172"/>
      <c r="F239" s="113"/>
      <c r="G239" s="113"/>
      <c r="H239" s="113"/>
      <c r="I239" s="113"/>
      <c r="J239" s="113"/>
      <c r="K239" s="113"/>
    </row>
    <row r="240" spans="1:11" s="124" customFormat="1">
      <c r="A240" s="172"/>
      <c r="F240" s="113"/>
      <c r="G240" s="113"/>
      <c r="H240" s="113"/>
      <c r="I240" s="113"/>
      <c r="J240" s="113"/>
      <c r="K240" s="113"/>
    </row>
    <row r="241" spans="1:11" s="124" customFormat="1">
      <c r="A241" s="172"/>
      <c r="F241" s="113"/>
      <c r="G241" s="113"/>
      <c r="H241" s="113"/>
      <c r="I241" s="113"/>
      <c r="J241" s="113"/>
      <c r="K241" s="113"/>
    </row>
    <row r="242" spans="1:11" s="124" customFormat="1">
      <c r="A242" s="172"/>
      <c r="F242" s="113"/>
      <c r="G242" s="113"/>
      <c r="H242" s="113"/>
      <c r="I242" s="113"/>
      <c r="J242" s="113"/>
      <c r="K242" s="113"/>
    </row>
    <row r="243" spans="1:11" s="124" customFormat="1">
      <c r="A243" s="172"/>
      <c r="F243" s="113"/>
      <c r="G243" s="113"/>
      <c r="H243" s="113"/>
      <c r="I243" s="113"/>
      <c r="J243" s="113"/>
      <c r="K243" s="113"/>
    </row>
    <row r="244" spans="1:11" s="124" customFormat="1">
      <c r="A244" s="172"/>
      <c r="F244" s="113"/>
      <c r="G244" s="113"/>
      <c r="H244" s="113"/>
      <c r="I244" s="113"/>
      <c r="J244" s="113"/>
      <c r="K244" s="113"/>
    </row>
    <row r="245" spans="1:11" s="124" customFormat="1">
      <c r="A245" s="172"/>
      <c r="F245" s="113"/>
      <c r="G245" s="113"/>
      <c r="H245" s="113"/>
      <c r="I245" s="113"/>
      <c r="J245" s="113"/>
      <c r="K245" s="113"/>
    </row>
    <row r="246" spans="1:11" s="124" customFormat="1">
      <c r="A246" s="172"/>
      <c r="F246" s="113"/>
      <c r="G246" s="113"/>
      <c r="H246" s="113"/>
      <c r="I246" s="113"/>
      <c r="J246" s="113"/>
      <c r="K246" s="113"/>
    </row>
    <row r="247" spans="1:11" s="124" customFormat="1">
      <c r="A247" s="172"/>
      <c r="F247" s="113"/>
      <c r="G247" s="113"/>
      <c r="H247" s="113"/>
      <c r="I247" s="113"/>
      <c r="J247" s="113"/>
      <c r="K247" s="113"/>
    </row>
    <row r="248" spans="1:11" s="124" customFormat="1">
      <c r="A248" s="172"/>
      <c r="F248" s="113"/>
      <c r="G248" s="113"/>
      <c r="H248" s="113"/>
      <c r="I248" s="113"/>
      <c r="J248" s="113"/>
      <c r="K248" s="113"/>
    </row>
    <row r="249" spans="1:11" s="124" customFormat="1">
      <c r="A249" s="172"/>
      <c r="F249" s="113"/>
      <c r="G249" s="113"/>
      <c r="H249" s="113"/>
      <c r="I249" s="113"/>
      <c r="J249" s="113"/>
      <c r="K249" s="113"/>
    </row>
    <row r="250" spans="1:11" s="124" customFormat="1">
      <c r="A250" s="172"/>
      <c r="F250" s="113"/>
      <c r="G250" s="113"/>
      <c r="H250" s="113"/>
      <c r="I250" s="113"/>
      <c r="J250" s="113"/>
      <c r="K250" s="113"/>
    </row>
    <row r="251" spans="1:11" s="124" customFormat="1">
      <c r="A251" s="172"/>
      <c r="F251" s="113"/>
      <c r="G251" s="113"/>
      <c r="H251" s="113"/>
      <c r="I251" s="113"/>
      <c r="J251" s="113"/>
      <c r="K251" s="113"/>
    </row>
    <row r="252" spans="1:11" s="124" customFormat="1">
      <c r="A252" s="172"/>
      <c r="F252" s="113"/>
      <c r="G252" s="113"/>
      <c r="H252" s="113"/>
      <c r="I252" s="113"/>
      <c r="J252" s="113"/>
      <c r="K252" s="113"/>
    </row>
    <row r="253" spans="1:11" s="124" customFormat="1">
      <c r="A253" s="172"/>
      <c r="F253" s="113"/>
      <c r="G253" s="113"/>
      <c r="H253" s="113"/>
      <c r="I253" s="113"/>
      <c r="J253" s="113"/>
      <c r="K253" s="113"/>
    </row>
    <row r="254" spans="1:11" s="124" customFormat="1">
      <c r="A254" s="172"/>
      <c r="F254" s="113"/>
      <c r="G254" s="113"/>
      <c r="H254" s="113"/>
      <c r="I254" s="113"/>
      <c r="J254" s="113"/>
      <c r="K254" s="113"/>
    </row>
    <row r="255" spans="1:11" s="124" customFormat="1">
      <c r="A255" s="172"/>
      <c r="F255" s="113"/>
      <c r="G255" s="113"/>
      <c r="H255" s="113"/>
      <c r="I255" s="113"/>
      <c r="J255" s="113"/>
      <c r="K255" s="113"/>
    </row>
    <row r="256" spans="1:11" s="124" customFormat="1">
      <c r="A256" s="172"/>
      <c r="F256" s="113"/>
      <c r="G256" s="113"/>
      <c r="H256" s="113"/>
      <c r="I256" s="113"/>
      <c r="J256" s="113"/>
      <c r="K256" s="113"/>
    </row>
    <row r="257" spans="1:11" s="124" customFormat="1">
      <c r="A257" s="172"/>
      <c r="F257" s="113"/>
      <c r="G257" s="113"/>
      <c r="H257" s="113"/>
      <c r="I257" s="113"/>
      <c r="J257" s="113"/>
      <c r="K257" s="113"/>
    </row>
    <row r="258" spans="1:11" s="124" customFormat="1">
      <c r="A258" s="172"/>
      <c r="F258" s="113"/>
      <c r="G258" s="113"/>
      <c r="H258" s="113"/>
      <c r="I258" s="113"/>
      <c r="J258" s="113"/>
      <c r="K258" s="113"/>
    </row>
    <row r="259" spans="1:11" s="124" customFormat="1">
      <c r="A259" s="172"/>
      <c r="F259" s="113"/>
      <c r="G259" s="113"/>
      <c r="H259" s="113"/>
      <c r="I259" s="113"/>
      <c r="J259" s="113"/>
      <c r="K259" s="113"/>
    </row>
    <row r="260" spans="1:11" s="124" customFormat="1">
      <c r="A260" s="172"/>
      <c r="F260" s="113"/>
      <c r="G260" s="113"/>
      <c r="H260" s="113"/>
      <c r="I260" s="113"/>
      <c r="J260" s="113"/>
      <c r="K260" s="113"/>
    </row>
    <row r="261" spans="1:11" s="124" customFormat="1">
      <c r="A261" s="172"/>
      <c r="F261" s="113"/>
      <c r="G261" s="113"/>
      <c r="H261" s="113"/>
      <c r="I261" s="113"/>
      <c r="J261" s="113"/>
      <c r="K261" s="113"/>
    </row>
    <row r="262" spans="1:11" s="124" customFormat="1">
      <c r="A262" s="172"/>
      <c r="F262" s="113"/>
      <c r="G262" s="113"/>
      <c r="H262" s="113"/>
      <c r="I262" s="113"/>
      <c r="J262" s="113"/>
      <c r="K262" s="113"/>
    </row>
    <row r="263" spans="1:11" s="124" customFormat="1">
      <c r="A263" s="172"/>
      <c r="F263" s="113"/>
      <c r="G263" s="113"/>
      <c r="H263" s="113"/>
      <c r="I263" s="113"/>
      <c r="J263" s="113"/>
      <c r="K263" s="113"/>
    </row>
    <row r="264" spans="1:11" s="124" customFormat="1">
      <c r="A264" s="172"/>
      <c r="F264" s="113"/>
      <c r="G264" s="113"/>
      <c r="H264" s="113"/>
      <c r="I264" s="113"/>
      <c r="J264" s="113"/>
      <c r="K264" s="113"/>
    </row>
    <row r="265" spans="1:11" s="124" customFormat="1">
      <c r="A265" s="172"/>
      <c r="F265" s="113"/>
      <c r="G265" s="113"/>
      <c r="H265" s="113"/>
      <c r="I265" s="113"/>
      <c r="J265" s="113"/>
      <c r="K265" s="113"/>
    </row>
    <row r="266" spans="1:11" s="124" customFormat="1">
      <c r="A266" s="172"/>
      <c r="F266" s="113"/>
      <c r="G266" s="113"/>
      <c r="H266" s="113"/>
      <c r="I266" s="113"/>
      <c r="J266" s="113"/>
      <c r="K266" s="113"/>
    </row>
    <row r="267" spans="1:11" s="124" customFormat="1">
      <c r="A267" s="172"/>
      <c r="F267" s="113"/>
      <c r="G267" s="113"/>
      <c r="H267" s="113"/>
      <c r="I267" s="113"/>
      <c r="J267" s="113"/>
      <c r="K267" s="113"/>
    </row>
    <row r="268" spans="1:11" s="124" customFormat="1">
      <c r="A268" s="172"/>
      <c r="F268" s="113"/>
      <c r="G268" s="113"/>
      <c r="H268" s="113"/>
      <c r="I268" s="113"/>
      <c r="J268" s="113"/>
      <c r="K268" s="113"/>
    </row>
    <row r="269" spans="1:11" s="124" customFormat="1">
      <c r="A269" s="172"/>
      <c r="F269" s="113"/>
      <c r="G269" s="113"/>
      <c r="H269" s="113"/>
      <c r="I269" s="113"/>
      <c r="J269" s="113"/>
      <c r="K269" s="113"/>
    </row>
    <row r="270" spans="1:11" s="124" customFormat="1">
      <c r="A270" s="172"/>
      <c r="F270" s="113"/>
      <c r="G270" s="113"/>
      <c r="H270" s="113"/>
      <c r="I270" s="113"/>
      <c r="J270" s="113"/>
      <c r="K270" s="113"/>
    </row>
    <row r="271" spans="1:11" s="124" customFormat="1">
      <c r="A271" s="172"/>
      <c r="F271" s="113"/>
      <c r="G271" s="113"/>
      <c r="H271" s="113"/>
      <c r="I271" s="113"/>
      <c r="J271" s="113"/>
      <c r="K271" s="113"/>
    </row>
    <row r="272" spans="1:11" s="124" customFormat="1">
      <c r="A272" s="172"/>
      <c r="F272" s="113"/>
      <c r="G272" s="113"/>
      <c r="H272" s="113"/>
      <c r="I272" s="113"/>
      <c r="J272" s="113"/>
      <c r="K272" s="113"/>
    </row>
    <row r="273" spans="1:11" s="124" customFormat="1">
      <c r="A273" s="172"/>
      <c r="F273" s="113"/>
      <c r="G273" s="113"/>
      <c r="H273" s="113"/>
      <c r="I273" s="113"/>
      <c r="J273" s="113"/>
      <c r="K273" s="113"/>
    </row>
    <row r="274" spans="1:11" s="124" customFormat="1">
      <c r="A274" s="172"/>
      <c r="F274" s="113"/>
      <c r="G274" s="113"/>
      <c r="H274" s="113"/>
      <c r="I274" s="113"/>
      <c r="J274" s="113"/>
      <c r="K274" s="113"/>
    </row>
    <row r="275" spans="1:11" s="124" customFormat="1">
      <c r="A275" s="172"/>
      <c r="F275" s="113"/>
      <c r="G275" s="113"/>
      <c r="H275" s="113"/>
      <c r="I275" s="113"/>
      <c r="J275" s="113"/>
      <c r="K275" s="113"/>
    </row>
    <row r="276" spans="1:11" s="124" customFormat="1">
      <c r="A276" s="172"/>
      <c r="F276" s="113"/>
      <c r="G276" s="113"/>
      <c r="H276" s="113"/>
      <c r="I276" s="113"/>
      <c r="J276" s="113"/>
      <c r="K276" s="113"/>
    </row>
    <row r="277" spans="1:11" s="124" customFormat="1">
      <c r="A277" s="172"/>
      <c r="F277" s="113"/>
      <c r="G277" s="113"/>
      <c r="H277" s="113"/>
      <c r="I277" s="113"/>
      <c r="J277" s="113"/>
      <c r="K277" s="113"/>
    </row>
    <row r="278" spans="1:11" s="124" customFormat="1">
      <c r="A278" s="172"/>
      <c r="F278" s="113"/>
      <c r="G278" s="113"/>
      <c r="H278" s="113"/>
      <c r="I278" s="113"/>
      <c r="J278" s="113"/>
      <c r="K278" s="113"/>
    </row>
    <row r="279" spans="1:11" s="124" customFormat="1">
      <c r="A279" s="172"/>
      <c r="F279" s="113"/>
      <c r="G279" s="113"/>
      <c r="H279" s="113"/>
      <c r="I279" s="113"/>
      <c r="J279" s="113"/>
      <c r="K279" s="113"/>
    </row>
    <row r="280" spans="1:11" s="124" customFormat="1">
      <c r="A280" s="172"/>
      <c r="F280" s="113"/>
      <c r="G280" s="113"/>
      <c r="H280" s="113"/>
      <c r="I280" s="113"/>
      <c r="J280" s="113"/>
      <c r="K280" s="113"/>
    </row>
    <row r="281" spans="1:11" s="124" customFormat="1">
      <c r="A281" s="172"/>
      <c r="F281" s="113"/>
      <c r="G281" s="113"/>
      <c r="H281" s="113"/>
      <c r="I281" s="113"/>
      <c r="J281" s="113"/>
      <c r="K281" s="113"/>
    </row>
    <row r="282" spans="1:11" s="124" customFormat="1">
      <c r="A282" s="172"/>
      <c r="F282" s="113"/>
      <c r="G282" s="113"/>
      <c r="H282" s="113"/>
      <c r="I282" s="113"/>
      <c r="J282" s="113"/>
      <c r="K282" s="113"/>
    </row>
    <row r="283" spans="1:11" s="124" customFormat="1">
      <c r="A283" s="172"/>
      <c r="F283" s="113"/>
      <c r="G283" s="113"/>
      <c r="H283" s="113"/>
      <c r="I283" s="113"/>
      <c r="J283" s="113"/>
      <c r="K283" s="113"/>
    </row>
    <row r="284" spans="1:11" s="124" customFormat="1">
      <c r="A284" s="172"/>
      <c r="F284" s="113"/>
      <c r="G284" s="113"/>
      <c r="H284" s="113"/>
      <c r="I284" s="113"/>
      <c r="J284" s="113"/>
      <c r="K284" s="113"/>
    </row>
    <row r="285" spans="1:11" s="124" customFormat="1">
      <c r="A285" s="172"/>
      <c r="F285" s="113"/>
      <c r="G285" s="113"/>
      <c r="H285" s="113"/>
      <c r="I285" s="113"/>
      <c r="J285" s="113"/>
      <c r="K285" s="113"/>
    </row>
    <row r="286" spans="1:11" s="124" customFormat="1">
      <c r="A286" s="172"/>
      <c r="F286" s="113"/>
      <c r="G286" s="113"/>
      <c r="H286" s="113"/>
      <c r="I286" s="113"/>
      <c r="J286" s="113"/>
      <c r="K286" s="113"/>
    </row>
    <row r="287" spans="1:11" s="124" customFormat="1">
      <c r="A287" s="172"/>
      <c r="F287" s="113"/>
      <c r="G287" s="113"/>
      <c r="H287" s="113"/>
      <c r="I287" s="113"/>
      <c r="J287" s="113"/>
      <c r="K287" s="113"/>
    </row>
    <row r="288" spans="1:11" s="124" customFormat="1">
      <c r="A288" s="172"/>
      <c r="F288" s="113"/>
      <c r="G288" s="113"/>
      <c r="H288" s="113"/>
      <c r="I288" s="113"/>
      <c r="J288" s="113"/>
      <c r="K288" s="113"/>
    </row>
    <row r="289" spans="1:11" s="124" customFormat="1">
      <c r="A289" s="172"/>
      <c r="F289" s="113"/>
      <c r="G289" s="113"/>
      <c r="H289" s="113"/>
      <c r="I289" s="113"/>
      <c r="J289" s="113"/>
      <c r="K289" s="113"/>
    </row>
    <row r="290" spans="1:11" s="124" customFormat="1">
      <c r="A290" s="172"/>
      <c r="F290" s="113"/>
      <c r="G290" s="113"/>
      <c r="H290" s="113"/>
      <c r="I290" s="113"/>
      <c r="J290" s="113"/>
      <c r="K290" s="113"/>
    </row>
    <row r="291" spans="1:11" s="124" customFormat="1">
      <c r="A291" s="172"/>
      <c r="F291" s="113"/>
      <c r="G291" s="113"/>
      <c r="H291" s="113"/>
      <c r="I291" s="113"/>
      <c r="J291" s="113"/>
      <c r="K291" s="113"/>
    </row>
    <row r="292" spans="1:11" s="124" customFormat="1">
      <c r="A292" s="172"/>
      <c r="F292" s="113"/>
      <c r="G292" s="113"/>
      <c r="H292" s="113"/>
      <c r="I292" s="113"/>
      <c r="J292" s="113"/>
      <c r="K292" s="113"/>
    </row>
    <row r="293" spans="1:11" s="124" customFormat="1">
      <c r="A293" s="172"/>
      <c r="F293" s="113"/>
      <c r="G293" s="113"/>
      <c r="H293" s="113"/>
      <c r="I293" s="113"/>
      <c r="J293" s="113"/>
      <c r="K293" s="113"/>
    </row>
    <row r="294" spans="1:11" s="124" customFormat="1">
      <c r="A294" s="172"/>
      <c r="F294" s="113"/>
      <c r="G294" s="113"/>
      <c r="H294" s="113"/>
      <c r="I294" s="113"/>
      <c r="J294" s="113"/>
      <c r="K294" s="113"/>
    </row>
    <row r="295" spans="1:11" s="124" customFormat="1">
      <c r="A295" s="172"/>
      <c r="F295" s="113"/>
      <c r="G295" s="113"/>
      <c r="H295" s="113"/>
      <c r="I295" s="113"/>
      <c r="J295" s="113"/>
      <c r="K295" s="113"/>
    </row>
    <row r="296" spans="1:11" s="124" customFormat="1">
      <c r="A296" s="172"/>
      <c r="F296" s="113"/>
      <c r="G296" s="113"/>
      <c r="H296" s="113"/>
      <c r="I296" s="113"/>
      <c r="J296" s="113"/>
      <c r="K296" s="113"/>
    </row>
    <row r="297" spans="1:11" s="124" customFormat="1">
      <c r="A297" s="172"/>
      <c r="F297" s="113"/>
      <c r="G297" s="113"/>
      <c r="H297" s="113"/>
      <c r="I297" s="113"/>
      <c r="J297" s="113"/>
      <c r="K297" s="113"/>
    </row>
    <row r="298" spans="1:11" s="124" customFormat="1">
      <c r="A298" s="172"/>
      <c r="F298" s="113"/>
      <c r="G298" s="113"/>
      <c r="H298" s="113"/>
      <c r="I298" s="113"/>
      <c r="J298" s="113"/>
      <c r="K298" s="113"/>
    </row>
    <row r="299" spans="1:11" s="124" customFormat="1">
      <c r="A299" s="172"/>
      <c r="F299" s="113"/>
      <c r="G299" s="113"/>
      <c r="H299" s="113"/>
      <c r="I299" s="113"/>
      <c r="J299" s="113"/>
      <c r="K299" s="113"/>
    </row>
    <row r="300" spans="1:11" s="124" customFormat="1">
      <c r="A300" s="172"/>
      <c r="F300" s="113"/>
      <c r="G300" s="113"/>
      <c r="H300" s="113"/>
      <c r="I300" s="113"/>
      <c r="J300" s="113"/>
      <c r="K300" s="113"/>
    </row>
    <row r="301" spans="1:11" s="124" customFormat="1">
      <c r="A301" s="172"/>
      <c r="F301" s="113"/>
      <c r="G301" s="113"/>
      <c r="H301" s="113"/>
      <c r="I301" s="113"/>
      <c r="J301" s="113"/>
      <c r="K301" s="113"/>
    </row>
    <row r="302" spans="1:11" s="124" customFormat="1">
      <c r="A302" s="172"/>
      <c r="F302" s="113"/>
      <c r="G302" s="113"/>
      <c r="H302" s="113"/>
      <c r="I302" s="113"/>
      <c r="J302" s="113"/>
      <c r="K302" s="113"/>
    </row>
    <row r="303" spans="1:11" s="124" customFormat="1">
      <c r="A303" s="172"/>
      <c r="F303" s="113"/>
      <c r="G303" s="113"/>
      <c r="H303" s="113"/>
      <c r="I303" s="113"/>
      <c r="J303" s="113"/>
      <c r="K303" s="113"/>
    </row>
    <row r="304" spans="1:11" s="124" customFormat="1">
      <c r="A304" s="172"/>
      <c r="F304" s="113"/>
      <c r="G304" s="113"/>
      <c r="H304" s="113"/>
      <c r="I304" s="113"/>
      <c r="J304" s="113"/>
      <c r="K304" s="113"/>
    </row>
    <row r="305" spans="1:11" s="124" customFormat="1">
      <c r="A305" s="172"/>
      <c r="F305" s="113"/>
      <c r="G305" s="113"/>
      <c r="H305" s="113"/>
      <c r="I305" s="113"/>
      <c r="J305" s="113"/>
      <c r="K305" s="113"/>
    </row>
    <row r="306" spans="1:11" s="124" customFormat="1">
      <c r="A306" s="172"/>
      <c r="F306" s="113"/>
      <c r="G306" s="113"/>
      <c r="H306" s="113"/>
      <c r="I306" s="113"/>
      <c r="J306" s="113"/>
      <c r="K306" s="113"/>
    </row>
    <row r="307" spans="1:11" s="124" customFormat="1">
      <c r="A307" s="172"/>
      <c r="F307" s="113"/>
      <c r="G307" s="113"/>
      <c r="H307" s="113"/>
      <c r="I307" s="113"/>
      <c r="J307" s="113"/>
      <c r="K307" s="113"/>
    </row>
    <row r="308" spans="1:11" s="124" customFormat="1">
      <c r="A308" s="172"/>
      <c r="F308" s="113"/>
      <c r="G308" s="113"/>
      <c r="H308" s="113"/>
      <c r="I308" s="113"/>
      <c r="J308" s="113"/>
      <c r="K308" s="113"/>
    </row>
    <row r="309" spans="1:11" s="124" customFormat="1">
      <c r="A309" s="172"/>
      <c r="F309" s="113"/>
      <c r="G309" s="113"/>
      <c r="H309" s="113"/>
      <c r="I309" s="113"/>
      <c r="J309" s="113"/>
      <c r="K309" s="113"/>
    </row>
    <row r="310" spans="1:11" s="124" customFormat="1">
      <c r="A310" s="172"/>
      <c r="F310" s="113"/>
      <c r="G310" s="113"/>
      <c r="H310" s="113"/>
      <c r="I310" s="113"/>
      <c r="J310" s="113"/>
      <c r="K310" s="113"/>
    </row>
    <row r="311" spans="1:11" s="124" customFormat="1">
      <c r="A311" s="172"/>
      <c r="F311" s="113"/>
      <c r="G311" s="113"/>
      <c r="H311" s="113"/>
      <c r="I311" s="113"/>
      <c r="J311" s="113"/>
      <c r="K311" s="113"/>
    </row>
    <row r="312" spans="1:11" s="124" customFormat="1">
      <c r="A312" s="172"/>
      <c r="F312" s="113"/>
      <c r="G312" s="113"/>
      <c r="H312" s="113"/>
      <c r="I312" s="113"/>
      <c r="J312" s="113"/>
      <c r="K312" s="113"/>
    </row>
    <row r="313" spans="1:11" s="124" customFormat="1">
      <c r="A313" s="172"/>
      <c r="F313" s="113"/>
      <c r="G313" s="113"/>
      <c r="H313" s="113"/>
      <c r="I313" s="113"/>
      <c r="J313" s="113"/>
      <c r="K313" s="113"/>
    </row>
    <row r="314" spans="1:11" s="124" customFormat="1">
      <c r="A314" s="172"/>
      <c r="F314" s="113"/>
      <c r="G314" s="113"/>
      <c r="H314" s="113"/>
      <c r="I314" s="113"/>
      <c r="J314" s="113"/>
      <c r="K314" s="113"/>
    </row>
    <row r="315" spans="1:11" s="124" customFormat="1">
      <c r="A315" s="172"/>
      <c r="F315" s="113"/>
      <c r="G315" s="113"/>
      <c r="H315" s="113"/>
      <c r="I315" s="113"/>
      <c r="J315" s="113"/>
      <c r="K315" s="113"/>
    </row>
    <row r="316" spans="1:11" s="124" customFormat="1">
      <c r="A316" s="172"/>
      <c r="F316" s="113"/>
      <c r="G316" s="113"/>
      <c r="H316" s="113"/>
      <c r="I316" s="113"/>
      <c r="J316" s="113"/>
      <c r="K316" s="113"/>
    </row>
    <row r="317" spans="1:11" s="124" customFormat="1">
      <c r="A317" s="172"/>
      <c r="F317" s="113"/>
      <c r="G317" s="113"/>
      <c r="H317" s="113"/>
      <c r="I317" s="113"/>
      <c r="J317" s="113"/>
      <c r="K317" s="113"/>
    </row>
    <row r="318" spans="1:11" s="124" customFormat="1">
      <c r="A318" s="172"/>
      <c r="F318" s="113"/>
      <c r="G318" s="113"/>
      <c r="H318" s="113"/>
      <c r="I318" s="113"/>
      <c r="J318" s="113"/>
      <c r="K318" s="113"/>
    </row>
    <row r="319" spans="1:11" s="124" customFormat="1">
      <c r="A319" s="172"/>
      <c r="F319" s="113"/>
      <c r="G319" s="113"/>
      <c r="H319" s="113"/>
      <c r="I319" s="113"/>
      <c r="J319" s="113"/>
      <c r="K319" s="113"/>
    </row>
    <row r="320" spans="1:11" s="124" customFormat="1">
      <c r="A320" s="172"/>
      <c r="F320" s="113"/>
      <c r="G320" s="113"/>
      <c r="H320" s="113"/>
      <c r="I320" s="113"/>
      <c r="J320" s="113"/>
      <c r="K320" s="113"/>
    </row>
    <row r="321" spans="1:11" s="124" customFormat="1">
      <c r="A321" s="172"/>
      <c r="F321" s="113"/>
      <c r="G321" s="113"/>
      <c r="H321" s="113"/>
      <c r="I321" s="113"/>
      <c r="J321" s="113"/>
      <c r="K321" s="113"/>
    </row>
    <row r="322" spans="1:11" s="124" customFormat="1">
      <c r="A322" s="172"/>
      <c r="F322" s="113"/>
      <c r="G322" s="113"/>
      <c r="H322" s="113"/>
      <c r="I322" s="113"/>
      <c r="J322" s="113"/>
      <c r="K322" s="113"/>
    </row>
    <row r="323" spans="1:11" s="124" customFormat="1">
      <c r="A323" s="172"/>
      <c r="F323" s="113"/>
      <c r="G323" s="113"/>
      <c r="H323" s="113"/>
      <c r="I323" s="113"/>
      <c r="J323" s="113"/>
      <c r="K323" s="113"/>
    </row>
    <row r="324" spans="1:11" s="124" customFormat="1">
      <c r="A324" s="172"/>
      <c r="F324" s="113"/>
      <c r="G324" s="113"/>
      <c r="H324" s="113"/>
      <c r="I324" s="113"/>
      <c r="J324" s="113"/>
      <c r="K324" s="113"/>
    </row>
    <row r="325" spans="1:11" s="124" customFormat="1">
      <c r="A325" s="172"/>
      <c r="F325" s="113"/>
      <c r="G325" s="113"/>
      <c r="H325" s="113"/>
      <c r="I325" s="113"/>
      <c r="J325" s="113"/>
      <c r="K325" s="113"/>
    </row>
    <row r="326" spans="1:11" s="124" customFormat="1">
      <c r="A326" s="172"/>
      <c r="F326" s="113"/>
      <c r="G326" s="113"/>
      <c r="H326" s="113"/>
      <c r="I326" s="113"/>
      <c r="J326" s="113"/>
      <c r="K326" s="113"/>
    </row>
    <row r="327" spans="1:11" s="124" customFormat="1">
      <c r="A327" s="172"/>
      <c r="F327" s="113"/>
      <c r="G327" s="113"/>
      <c r="H327" s="113"/>
      <c r="I327" s="113"/>
      <c r="J327" s="113"/>
      <c r="K327" s="113"/>
    </row>
    <row r="328" spans="1:11" s="124" customFormat="1">
      <c r="A328" s="172"/>
      <c r="F328" s="113"/>
      <c r="G328" s="113"/>
      <c r="H328" s="113"/>
      <c r="I328" s="113"/>
      <c r="J328" s="113"/>
      <c r="K328" s="113"/>
    </row>
    <row r="329" spans="1:11" s="124" customFormat="1">
      <c r="A329" s="172"/>
      <c r="F329" s="113"/>
      <c r="G329" s="113"/>
      <c r="H329" s="113"/>
      <c r="I329" s="113"/>
      <c r="J329" s="113"/>
      <c r="K329" s="113"/>
    </row>
    <row r="330" spans="1:11" s="124" customFormat="1">
      <c r="A330" s="172"/>
      <c r="F330" s="113"/>
      <c r="G330" s="113"/>
      <c r="H330" s="113"/>
      <c r="I330" s="113"/>
      <c r="J330" s="113"/>
      <c r="K330" s="113"/>
    </row>
    <row r="331" spans="1:11" s="124" customFormat="1">
      <c r="A331" s="172"/>
      <c r="F331" s="113"/>
      <c r="G331" s="113"/>
      <c r="H331" s="113"/>
      <c r="I331" s="113"/>
      <c r="J331" s="113"/>
      <c r="K331" s="113"/>
    </row>
    <row r="332" spans="1:11" s="124" customFormat="1">
      <c r="A332" s="172"/>
      <c r="F332" s="113"/>
      <c r="G332" s="113"/>
      <c r="H332" s="113"/>
      <c r="I332" s="113"/>
      <c r="J332" s="113"/>
      <c r="K332" s="113"/>
    </row>
    <row r="333" spans="1:11" s="124" customFormat="1">
      <c r="A333" s="172"/>
      <c r="F333" s="113"/>
      <c r="G333" s="113"/>
      <c r="H333" s="113"/>
      <c r="I333" s="113"/>
      <c r="J333" s="113"/>
      <c r="K333" s="113"/>
    </row>
    <row r="334" spans="1:11" s="124" customFormat="1">
      <c r="A334" s="172"/>
      <c r="F334" s="113"/>
      <c r="G334" s="113"/>
      <c r="H334" s="113"/>
      <c r="I334" s="113"/>
      <c r="J334" s="113"/>
      <c r="K334" s="113"/>
    </row>
    <row r="335" spans="1:11" s="124" customFormat="1">
      <c r="A335" s="172"/>
      <c r="F335" s="113"/>
      <c r="G335" s="113"/>
      <c r="H335" s="113"/>
      <c r="I335" s="113"/>
      <c r="J335" s="113"/>
      <c r="K335" s="113"/>
    </row>
    <row r="336" spans="1:11" s="124" customFormat="1">
      <c r="A336" s="172"/>
      <c r="F336" s="113"/>
      <c r="G336" s="113"/>
      <c r="H336" s="113"/>
      <c r="I336" s="113"/>
      <c r="J336" s="113"/>
      <c r="K336" s="113"/>
    </row>
    <row r="337" spans="1:11" s="124" customFormat="1">
      <c r="A337" s="172"/>
      <c r="F337" s="113"/>
      <c r="G337" s="113"/>
      <c r="H337" s="113"/>
      <c r="I337" s="113"/>
      <c r="J337" s="113"/>
      <c r="K337" s="113"/>
    </row>
    <row r="338" spans="1:11" s="124" customFormat="1">
      <c r="A338" s="172"/>
      <c r="F338" s="113"/>
      <c r="G338" s="113"/>
      <c r="H338" s="113"/>
      <c r="I338" s="113"/>
      <c r="J338" s="113"/>
      <c r="K338" s="113"/>
    </row>
    <row r="339" spans="1:11" s="124" customFormat="1">
      <c r="A339" s="172"/>
      <c r="F339" s="113"/>
      <c r="G339" s="113"/>
      <c r="H339" s="113"/>
      <c r="I339" s="113"/>
      <c r="J339" s="113"/>
      <c r="K339" s="113"/>
    </row>
    <row r="340" spans="1:11" s="124" customFormat="1">
      <c r="A340" s="172"/>
      <c r="F340" s="113"/>
      <c r="G340" s="113"/>
      <c r="H340" s="113"/>
      <c r="I340" s="113"/>
      <c r="J340" s="113"/>
      <c r="K340" s="113"/>
    </row>
    <row r="341" spans="1:11" s="124" customFormat="1">
      <c r="A341" s="172"/>
      <c r="F341" s="113"/>
      <c r="G341" s="113"/>
      <c r="H341" s="113"/>
      <c r="I341" s="113"/>
      <c r="J341" s="113"/>
      <c r="K341" s="113"/>
    </row>
    <row r="342" spans="1:11" s="124" customFormat="1">
      <c r="A342" s="172"/>
      <c r="F342" s="113"/>
      <c r="G342" s="113"/>
      <c r="H342" s="113"/>
      <c r="I342" s="113"/>
      <c r="J342" s="113"/>
      <c r="K342" s="113"/>
    </row>
    <row r="343" spans="1:11" s="124" customFormat="1">
      <c r="A343" s="172"/>
      <c r="F343" s="113"/>
      <c r="G343" s="113"/>
      <c r="H343" s="113"/>
      <c r="I343" s="113"/>
      <c r="J343" s="113"/>
      <c r="K343" s="113"/>
    </row>
    <row r="344" spans="1:11" s="124" customFormat="1">
      <c r="A344" s="172"/>
      <c r="F344" s="113"/>
      <c r="G344" s="113"/>
      <c r="H344" s="113"/>
      <c r="I344" s="113"/>
      <c r="J344" s="113"/>
      <c r="K344" s="113"/>
    </row>
    <row r="345" spans="1:11" s="124" customFormat="1">
      <c r="A345" s="172"/>
      <c r="F345" s="113"/>
      <c r="G345" s="113"/>
      <c r="H345" s="113"/>
      <c r="I345" s="113"/>
      <c r="J345" s="113"/>
      <c r="K345" s="113"/>
    </row>
    <row r="346" spans="1:11" s="124" customFormat="1">
      <c r="A346" s="172"/>
      <c r="F346" s="113"/>
      <c r="G346" s="113"/>
      <c r="H346" s="113"/>
      <c r="I346" s="113"/>
      <c r="J346" s="113"/>
      <c r="K346" s="113"/>
    </row>
    <row r="347" spans="1:11" s="124" customFormat="1">
      <c r="A347" s="172"/>
      <c r="F347" s="113"/>
      <c r="G347" s="113"/>
      <c r="H347" s="113"/>
      <c r="I347" s="113"/>
      <c r="J347" s="113"/>
      <c r="K347" s="113"/>
    </row>
    <row r="348" spans="1:11" s="124" customFormat="1">
      <c r="A348" s="172"/>
      <c r="F348" s="113"/>
      <c r="G348" s="113"/>
      <c r="H348" s="113"/>
      <c r="I348" s="113"/>
      <c r="J348" s="113"/>
      <c r="K348" s="113"/>
    </row>
    <row r="349" spans="1:11" s="124" customFormat="1">
      <c r="A349" s="172"/>
      <c r="F349" s="113"/>
      <c r="G349" s="113"/>
      <c r="H349" s="113"/>
      <c r="I349" s="113"/>
      <c r="J349" s="113"/>
      <c r="K349" s="113"/>
    </row>
    <row r="350" spans="1:11" s="124" customFormat="1">
      <c r="A350" s="172"/>
      <c r="F350" s="113"/>
      <c r="G350" s="113"/>
      <c r="H350" s="113"/>
      <c r="I350" s="113"/>
      <c r="J350" s="113"/>
      <c r="K350" s="113"/>
    </row>
    <row r="351" spans="1:11" s="124" customFormat="1">
      <c r="A351" s="172"/>
      <c r="F351" s="113"/>
      <c r="G351" s="113"/>
      <c r="H351" s="113"/>
      <c r="I351" s="113"/>
      <c r="J351" s="113"/>
      <c r="K351" s="113"/>
    </row>
    <row r="352" spans="1:11" s="124" customFormat="1">
      <c r="A352" s="172"/>
      <c r="F352" s="113"/>
      <c r="G352" s="113"/>
      <c r="H352" s="113"/>
      <c r="I352" s="113"/>
      <c r="J352" s="113"/>
      <c r="K352" s="113"/>
    </row>
  </sheetData>
  <mergeCells count="59">
    <mergeCell ref="J49:K49"/>
    <mergeCell ref="A50:K50"/>
    <mergeCell ref="G24:K24"/>
    <mergeCell ref="B34:F34"/>
    <mergeCell ref="B31:F31"/>
    <mergeCell ref="G38:I38"/>
    <mergeCell ref="B33:F33"/>
    <mergeCell ref="B43:F43"/>
    <mergeCell ref="B42:F42"/>
    <mergeCell ref="B38:F38"/>
    <mergeCell ref="A44:K44"/>
    <mergeCell ref="E47:E48"/>
    <mergeCell ref="A45:K45"/>
    <mergeCell ref="D47:D48"/>
    <mergeCell ref="B47:B48"/>
    <mergeCell ref="A47:A48"/>
    <mergeCell ref="C201:F201"/>
    <mergeCell ref="J51:K51"/>
    <mergeCell ref="I200:K200"/>
    <mergeCell ref="A180:K180"/>
    <mergeCell ref="I201:K201"/>
    <mergeCell ref="A112:K112"/>
    <mergeCell ref="A94:K94"/>
    <mergeCell ref="C200:F200"/>
    <mergeCell ref="A171:K171"/>
    <mergeCell ref="A162:K162"/>
    <mergeCell ref="G47:J47"/>
    <mergeCell ref="B32:G32"/>
    <mergeCell ref="C47:C48"/>
    <mergeCell ref="F47:F48"/>
    <mergeCell ref="B41:F41"/>
    <mergeCell ref="B40:F40"/>
    <mergeCell ref="B35:F35"/>
    <mergeCell ref="B36:F36"/>
    <mergeCell ref="G39:I39"/>
    <mergeCell ref="B39:F39"/>
    <mergeCell ref="B37:F37"/>
    <mergeCell ref="A23:B23"/>
    <mergeCell ref="G25:K25"/>
    <mergeCell ref="G8:K8"/>
    <mergeCell ref="G10:K10"/>
    <mergeCell ref="G23:K23"/>
    <mergeCell ref="G15:K15"/>
    <mergeCell ref="G14:K14"/>
    <mergeCell ref="G9:K9"/>
    <mergeCell ref="G18:K18"/>
    <mergeCell ref="G12:K12"/>
    <mergeCell ref="A21:B21"/>
    <mergeCell ref="G22:K22"/>
    <mergeCell ref="A22:B22"/>
    <mergeCell ref="G20:J20"/>
    <mergeCell ref="A1:B6"/>
    <mergeCell ref="A11:B11"/>
    <mergeCell ref="A14:B14"/>
    <mergeCell ref="A20:B20"/>
    <mergeCell ref="A15:B15"/>
    <mergeCell ref="A18:B18"/>
    <mergeCell ref="A16:B16"/>
    <mergeCell ref="A13:B13"/>
  </mergeCells>
  <phoneticPr fontId="3" type="noConversion"/>
  <pageMargins left="0.59055118110236227" right="0.59055118110236227" top="0.98425196850393704" bottom="0.39370078740157483" header="0.39370078740157483" footer="0.19685039370078741"/>
  <pageSetup paperSize="9" scale="58" orientation="landscape" verticalDpi="300" r:id="rId1"/>
  <headerFooter alignWithMargins="0"/>
  <rowBreaks count="1" manualBreakCount="1">
    <brk id="43" max="9" man="1"/>
  </rowBreaks>
  <ignoredErrors>
    <ignoredError sqref="B172:B179 B181:B1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T327"/>
  <sheetViews>
    <sheetView view="pageBreakPreview" zoomScale="60" zoomScaleNormal="100" workbookViewId="0">
      <selection activeCell="F15" sqref="F15"/>
    </sheetView>
  </sheetViews>
  <sheetFormatPr defaultRowHeight="18.75"/>
  <cols>
    <col min="1" max="1" width="6" style="1" customWidth="1"/>
    <col min="2" max="2" width="67.140625" style="1" customWidth="1"/>
    <col min="3" max="3" width="12" style="38" customWidth="1"/>
    <col min="4" max="4" width="17.5703125" style="38" customWidth="1"/>
    <col min="5" max="5" width="16.7109375" style="38" customWidth="1"/>
    <col min="6" max="6" width="16.140625" style="38" customWidth="1"/>
    <col min="7" max="7" width="19.140625" style="38" customWidth="1"/>
    <col min="8" max="8" width="16.28515625" style="1" customWidth="1"/>
    <col min="9" max="9" width="16.85546875" style="1" customWidth="1"/>
    <col min="10" max="10" width="16.140625" style="1" customWidth="1"/>
    <col min="11" max="11" width="16.42578125" style="1" customWidth="1"/>
    <col min="12" max="12" width="15.85546875" style="1" bestFit="1" customWidth="1"/>
    <col min="13" max="13" width="15.5703125" style="1" customWidth="1"/>
    <col min="14" max="14" width="17.28515625" style="1" customWidth="1"/>
    <col min="15" max="15" width="20.5703125" style="1" customWidth="1"/>
    <col min="16" max="16" width="17.5703125" style="1" customWidth="1"/>
    <col min="17" max="17" width="19.140625" style="1" customWidth="1"/>
    <col min="18" max="18" width="16" style="1" customWidth="1"/>
    <col min="19" max="20" width="12.28515625" style="1" customWidth="1"/>
    <col min="21" max="21" width="11.28515625" style="1" customWidth="1"/>
    <col min="22" max="16384" width="9.140625" style="1"/>
  </cols>
  <sheetData>
    <row r="2" spans="1:20" ht="22.5">
      <c r="B2" s="263" t="s">
        <v>196</v>
      </c>
      <c r="C2" s="263"/>
      <c r="D2" s="263"/>
      <c r="E2" s="263"/>
      <c r="F2" s="263"/>
      <c r="G2" s="263"/>
      <c r="H2" s="263"/>
      <c r="I2" s="263"/>
    </row>
    <row r="3" spans="1:20">
      <c r="B3" s="2"/>
      <c r="C3" s="3"/>
      <c r="D3" s="2"/>
      <c r="E3" s="2"/>
      <c r="F3" s="2"/>
      <c r="G3" s="3"/>
      <c r="H3" s="2"/>
      <c r="I3" s="2"/>
      <c r="K3" s="1" t="s">
        <v>148</v>
      </c>
    </row>
    <row r="4" spans="1:20" ht="41.25" customHeight="1">
      <c r="A4" s="287" t="s">
        <v>364</v>
      </c>
      <c r="B4" s="294" t="s">
        <v>64</v>
      </c>
      <c r="C4" s="287" t="s">
        <v>13</v>
      </c>
      <c r="D4" s="287" t="s">
        <v>381</v>
      </c>
      <c r="E4" s="287" t="s">
        <v>382</v>
      </c>
      <c r="F4" s="287" t="s">
        <v>379</v>
      </c>
      <c r="G4" s="289" t="s">
        <v>383</v>
      </c>
      <c r="H4" s="291" t="s">
        <v>123</v>
      </c>
      <c r="I4" s="292"/>
      <c r="J4" s="292"/>
      <c r="K4" s="293"/>
    </row>
    <row r="5" spans="1:20" ht="54" customHeight="1">
      <c r="A5" s="288"/>
      <c r="B5" s="295"/>
      <c r="C5" s="288"/>
      <c r="D5" s="288"/>
      <c r="E5" s="288"/>
      <c r="F5" s="288"/>
      <c r="G5" s="290"/>
      <c r="H5" s="4" t="s">
        <v>50</v>
      </c>
      <c r="I5" s="4" t="s">
        <v>51</v>
      </c>
      <c r="J5" s="4" t="s">
        <v>52</v>
      </c>
      <c r="K5" s="4" t="s">
        <v>23</v>
      </c>
    </row>
    <row r="6" spans="1:20" ht="30.75" customHeight="1">
      <c r="A6" s="6">
        <v>1</v>
      </c>
      <c r="B6" s="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6">
        <v>10</v>
      </c>
      <c r="K6" s="6">
        <v>11</v>
      </c>
    </row>
    <row r="7" spans="1:20" ht="30.75" customHeight="1">
      <c r="A7" s="277" t="s">
        <v>170</v>
      </c>
      <c r="B7" s="278"/>
      <c r="C7" s="7"/>
      <c r="D7" s="87">
        <f t="shared" ref="D7:K7" si="0">D11+D25+D8</f>
        <v>56717.1</v>
      </c>
      <c r="E7" s="87">
        <f t="shared" si="0"/>
        <v>80700.600000000006</v>
      </c>
      <c r="F7" s="87">
        <f t="shared" si="0"/>
        <v>87746</v>
      </c>
      <c r="G7" s="87">
        <f t="shared" si="0"/>
        <v>103241.9</v>
      </c>
      <c r="H7" s="87">
        <f t="shared" si="0"/>
        <v>28380.799999999999</v>
      </c>
      <c r="I7" s="87">
        <f t="shared" si="0"/>
        <v>26267.399999999998</v>
      </c>
      <c r="J7" s="87">
        <f t="shared" si="0"/>
        <v>22739.800000000003</v>
      </c>
      <c r="K7" s="87">
        <f t="shared" si="0"/>
        <v>25853.899999999998</v>
      </c>
      <c r="L7" s="154"/>
      <c r="M7" s="219">
        <f>D7-'Фінансовий план КНП'!C85</f>
        <v>0</v>
      </c>
      <c r="N7" s="219">
        <f>E7-'Фінансовий план КНП'!D85</f>
        <v>0</v>
      </c>
      <c r="O7" s="219">
        <f>F7-'Фінансовий план КНП'!E85</f>
        <v>0</v>
      </c>
      <c r="P7" s="219">
        <f>G7-'Фінансовий план КНП'!F85</f>
        <v>0</v>
      </c>
      <c r="Q7" s="219">
        <f>H7-'Фінансовий план КНП'!G85</f>
        <v>0</v>
      </c>
      <c r="R7" s="219">
        <f>I7-'Фінансовий план КНП'!H85</f>
        <v>0</v>
      </c>
      <c r="S7" s="219">
        <f>J7-'Фінансовий план КНП'!I85</f>
        <v>0</v>
      </c>
      <c r="T7" s="219">
        <f>K7-'Фінансовий план КНП'!J85</f>
        <v>0</v>
      </c>
    </row>
    <row r="8" spans="1:20" ht="47.25" customHeight="1">
      <c r="A8" s="279" t="s">
        <v>169</v>
      </c>
      <c r="B8" s="280"/>
      <c r="C8" s="8">
        <v>1000</v>
      </c>
      <c r="D8" s="87">
        <f t="shared" ref="D8:F8" si="1">D9+D10</f>
        <v>27137.1</v>
      </c>
      <c r="E8" s="87">
        <f t="shared" si="1"/>
        <v>62038.9</v>
      </c>
      <c r="F8" s="87">
        <f t="shared" si="1"/>
        <v>57463.5</v>
      </c>
      <c r="G8" s="87">
        <f>SUM(H8:K8)</f>
        <v>86127</v>
      </c>
      <c r="H8" s="87">
        <f>H9+H10</f>
        <v>22123.1</v>
      </c>
      <c r="I8" s="87">
        <f>I9+I10</f>
        <v>22041.899999999998</v>
      </c>
      <c r="J8" s="87">
        <f>J9+J10</f>
        <v>19949.600000000002</v>
      </c>
      <c r="K8" s="87">
        <f>K9+K10</f>
        <v>22012.399999999998</v>
      </c>
      <c r="L8" s="154"/>
      <c r="M8" s="150">
        <f>D8-'Фінансовий план КНП'!C51</f>
        <v>0</v>
      </c>
      <c r="N8" s="150">
        <f>E8-'Фінансовий план КНП'!D51</f>
        <v>0</v>
      </c>
      <c r="O8" s="150">
        <f>F8-'Фінансовий план КНП'!E51</f>
        <v>0</v>
      </c>
      <c r="P8" s="150">
        <f>G8-'Фінансовий план КНП'!F51</f>
        <v>0</v>
      </c>
      <c r="Q8" s="150">
        <f>H8-'Фінансовий план КНП'!G51</f>
        <v>0</v>
      </c>
      <c r="R8" s="150">
        <f>I8-'Фінансовий план КНП'!H51</f>
        <v>0</v>
      </c>
      <c r="S8" s="150">
        <f>J8-'Фінансовий план КНП'!I51</f>
        <v>0</v>
      </c>
      <c r="T8" s="150">
        <f>K8-'Фінансовий план КНП'!J51</f>
        <v>0</v>
      </c>
    </row>
    <row r="9" spans="1:20" ht="46.5" customHeight="1">
      <c r="A9" s="6">
        <v>1</v>
      </c>
      <c r="B9" s="42" t="s">
        <v>490</v>
      </c>
      <c r="C9" s="10"/>
      <c r="D9" s="121">
        <v>26659.8</v>
      </c>
      <c r="E9" s="121">
        <v>61763.8</v>
      </c>
      <c r="F9" s="121">
        <v>57434.6</v>
      </c>
      <c r="G9" s="121">
        <f>SUM(H9:K9)</f>
        <v>86051.1</v>
      </c>
      <c r="H9" s="121">
        <v>22093.5</v>
      </c>
      <c r="I9" s="121">
        <v>22023.1</v>
      </c>
      <c r="J9" s="121">
        <v>19928.2</v>
      </c>
      <c r="K9" s="121">
        <v>22006.3</v>
      </c>
      <c r="L9" s="154"/>
      <c r="M9" s="150">
        <f>D9-'Розшифровка 2 до формування'!D8</f>
        <v>0</v>
      </c>
      <c r="N9" s="150">
        <f>E9-'Розшифровка 2 до формування'!E8</f>
        <v>0</v>
      </c>
      <c r="O9" s="150">
        <f>F9-'Розшифровка 2 до формування'!F8</f>
        <v>0</v>
      </c>
      <c r="P9" s="150">
        <f>G9-'Розшифровка 2 до формування'!G8</f>
        <v>0</v>
      </c>
      <c r="Q9" s="150">
        <f>H9-'Розшифровка 2 до формування'!H8</f>
        <v>0</v>
      </c>
      <c r="R9" s="150">
        <f>I9-'Розшифровка 2 до формування'!I8</f>
        <v>0</v>
      </c>
      <c r="S9" s="150">
        <f>J9-'Розшифровка 2 до формування'!J8</f>
        <v>0</v>
      </c>
      <c r="T9" s="150">
        <f>K9-'Розшифровка 2 до формування'!K8</f>
        <v>0</v>
      </c>
    </row>
    <row r="10" spans="1:20" ht="28.5" customHeight="1">
      <c r="A10" s="118">
        <v>2</v>
      </c>
      <c r="B10" s="43" t="s">
        <v>498</v>
      </c>
      <c r="C10" s="10"/>
      <c r="D10" s="121">
        <v>477.3</v>
      </c>
      <c r="E10" s="121">
        <v>275.10000000000002</v>
      </c>
      <c r="F10" s="121">
        <v>28.9</v>
      </c>
      <c r="G10" s="121">
        <f>SUM(H10:K10)</f>
        <v>75.900000000000006</v>
      </c>
      <c r="H10" s="121">
        <v>29.6</v>
      </c>
      <c r="I10" s="121">
        <v>18.8</v>
      </c>
      <c r="J10" s="121">
        <v>21.4</v>
      </c>
      <c r="K10" s="121">
        <v>6.1</v>
      </c>
      <c r="L10" s="154"/>
      <c r="M10" s="150">
        <f>D10-'Розшифровка 2 до формування'!D136</f>
        <v>0</v>
      </c>
      <c r="N10" s="150">
        <f>E10-'Розшифровка 2 до формування'!E136</f>
        <v>0</v>
      </c>
      <c r="O10" s="150">
        <f>F10-'Розшифровка 2 до формування'!F136</f>
        <v>0</v>
      </c>
      <c r="P10" s="150">
        <f>G10-'Розшифровка 2 до формування'!G136</f>
        <v>0</v>
      </c>
      <c r="Q10" s="150">
        <f>H10-'Розшифровка 2 до формування'!H136</f>
        <v>0</v>
      </c>
      <c r="R10" s="150">
        <f>I10-'Розшифровка 2 до формування'!I136</f>
        <v>0</v>
      </c>
      <c r="S10" s="150">
        <f>J10-'Розшифровка 2 до формування'!J136</f>
        <v>0</v>
      </c>
      <c r="T10" s="150">
        <f>K10-'Розшифровка 2 до формування'!K136</f>
        <v>0</v>
      </c>
    </row>
    <row r="11" spans="1:20" ht="30.75" customHeight="1">
      <c r="A11" s="275" t="s">
        <v>86</v>
      </c>
      <c r="B11" s="276"/>
      <c r="C11" s="8">
        <v>1040</v>
      </c>
      <c r="D11" s="87">
        <f>SUM(D12:D20)</f>
        <v>28129.8</v>
      </c>
      <c r="E11" s="87">
        <f>SUM(E12:E20)</f>
        <v>17211.5</v>
      </c>
      <c r="F11" s="87">
        <f>SUM(F12:F20)</f>
        <v>27234.1</v>
      </c>
      <c r="G11" s="87">
        <f>SUM(H11:K11)</f>
        <v>14462.900000000001</v>
      </c>
      <c r="H11" s="87">
        <f>SUM(H12:H19)</f>
        <v>5594.7000000000007</v>
      </c>
      <c r="I11" s="87">
        <f>SUM(I12:I19)</f>
        <v>3562.5</v>
      </c>
      <c r="J11" s="87">
        <f>SUM(J12:J19)</f>
        <v>2127.1999999999998</v>
      </c>
      <c r="K11" s="87">
        <f>SUM(K12:K19)</f>
        <v>3178.5</v>
      </c>
      <c r="L11" s="154"/>
      <c r="M11" s="150">
        <f>D11-'Фінансовий план КНП'!C65</f>
        <v>0</v>
      </c>
      <c r="N11" s="150">
        <f>E11-'Фінансовий план КНП'!D65</f>
        <v>0</v>
      </c>
      <c r="O11" s="150">
        <f>F11-'Фінансовий план КНП'!E65</f>
        <v>0</v>
      </c>
      <c r="P11" s="150">
        <f>G11-'Фінансовий план КНП'!F65</f>
        <v>0</v>
      </c>
      <c r="Q11" s="150">
        <f>H11-'Фінансовий план КНП'!G65</f>
        <v>0</v>
      </c>
      <c r="R11" s="150">
        <f>I11-'Фінансовий план КНП'!H65</f>
        <v>0</v>
      </c>
      <c r="S11" s="150">
        <f>J11-'Фінансовий план КНП'!I65</f>
        <v>0</v>
      </c>
      <c r="T11" s="150">
        <f>K11-'Фінансовий план КНП'!J65</f>
        <v>0</v>
      </c>
    </row>
    <row r="12" spans="1:20" ht="32.25" customHeight="1">
      <c r="A12" s="48">
        <v>1</v>
      </c>
      <c r="B12" s="152" t="s">
        <v>491</v>
      </c>
      <c r="C12" s="225"/>
      <c r="D12" s="121">
        <v>20384.099999999999</v>
      </c>
      <c r="E12" s="121">
        <v>15818.5</v>
      </c>
      <c r="F12" s="121">
        <v>22209.7</v>
      </c>
      <c r="G12" s="121">
        <f>SUM(H12:K12)</f>
        <v>12526.1</v>
      </c>
      <c r="H12" s="121">
        <v>5001.5</v>
      </c>
      <c r="I12" s="121">
        <v>3118.4</v>
      </c>
      <c r="J12" s="121">
        <v>1759.2</v>
      </c>
      <c r="K12" s="121">
        <v>2647</v>
      </c>
      <c r="L12" s="154">
        <v>12331</v>
      </c>
      <c r="M12" s="150">
        <f>D12-'Розшифровка 2 до формування'!D50</f>
        <v>0</v>
      </c>
      <c r="N12" s="150">
        <f>E12-'Розшифровка 2 до формування'!E50</f>
        <v>0</v>
      </c>
      <c r="O12" s="150">
        <f>F12-'Розшифровка 2 до формування'!F50</f>
        <v>0</v>
      </c>
      <c r="P12" s="150">
        <f>G12-'Розшифровка 2 до формування'!G50</f>
        <v>0</v>
      </c>
      <c r="Q12" s="150">
        <f>H12-'Розшифровка 2 до формування'!H50</f>
        <v>0</v>
      </c>
      <c r="R12" s="150">
        <f>I12-'Розшифровка 2 до формування'!I50</f>
        <v>0</v>
      </c>
      <c r="S12" s="150">
        <f>J12-'Розшифровка 2 до формування'!J50</f>
        <v>0</v>
      </c>
      <c r="T12" s="150">
        <f>K12-'Розшифровка 2 до формування'!K50</f>
        <v>0</v>
      </c>
    </row>
    <row r="13" spans="1:20" ht="34.5" customHeight="1">
      <c r="A13" s="48">
        <v>2</v>
      </c>
      <c r="B13" s="34" t="s">
        <v>492</v>
      </c>
      <c r="C13" s="225"/>
      <c r="D13" s="121">
        <v>6001</v>
      </c>
      <c r="E13" s="121"/>
      <c r="F13" s="121"/>
      <c r="G13" s="121">
        <f t="shared" ref="G13:G35" si="2">SUM(H13:K13)</f>
        <v>0</v>
      </c>
      <c r="H13" s="121">
        <v>0</v>
      </c>
      <c r="I13" s="121">
        <v>0</v>
      </c>
      <c r="J13" s="121">
        <v>0</v>
      </c>
      <c r="K13" s="121">
        <v>0</v>
      </c>
      <c r="L13" s="154"/>
      <c r="M13" s="150">
        <f>D13-'Розшифровка 2 до формування'!D83</f>
        <v>0</v>
      </c>
      <c r="N13" s="150">
        <f>E13-'Розшифровка 2 до формування'!E83</f>
        <v>0</v>
      </c>
      <c r="O13" s="150">
        <f>F13-'Розшифровка 2 до формування'!F83</f>
        <v>0</v>
      </c>
      <c r="P13" s="150">
        <f>G13-'Розшифровка 2 до формування'!G83</f>
        <v>0</v>
      </c>
      <c r="Q13" s="150">
        <f>H13-'Розшифровка 2 до формування'!H83</f>
        <v>0</v>
      </c>
      <c r="R13" s="150">
        <f>I13-'Розшифровка 2 до формування'!I83</f>
        <v>0</v>
      </c>
      <c r="S13" s="150">
        <f>J13-'Розшифровка 2 до формування'!J83</f>
        <v>0</v>
      </c>
      <c r="T13" s="150">
        <f>K13-'Розшифровка 2 до формування'!K83</f>
        <v>0</v>
      </c>
    </row>
    <row r="14" spans="1:20" ht="34.5" customHeight="1">
      <c r="A14" s="48">
        <v>3</v>
      </c>
      <c r="B14" s="34" t="s">
        <v>530</v>
      </c>
      <c r="C14" s="225"/>
      <c r="D14" s="121"/>
      <c r="E14" s="121"/>
      <c r="F14" s="121">
        <v>108.5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54"/>
      <c r="M14" s="150">
        <f>D14-'Розшифровка 2 до формування'!D111</f>
        <v>0</v>
      </c>
      <c r="N14" s="150">
        <f>E14-'Розшифровка 2 до формування'!E111</f>
        <v>0</v>
      </c>
      <c r="O14" s="150">
        <f>F14-'Розшифровка 2 до формування'!F111</f>
        <v>0</v>
      </c>
      <c r="P14" s="150">
        <f>G14-'Розшифровка 2 до формування'!G111</f>
        <v>0</v>
      </c>
      <c r="Q14" s="150">
        <f>H14-'Розшифровка 2 до формування'!H111</f>
        <v>0</v>
      </c>
      <c r="R14" s="150">
        <f>I14-'Розшифровка 2 до формування'!I111</f>
        <v>0</v>
      </c>
      <c r="S14" s="150">
        <f>J14-'Розшифровка 2 до формування'!J111</f>
        <v>0</v>
      </c>
      <c r="T14" s="150">
        <f>K14-'Розшифровка 2 до формування'!K111</f>
        <v>0</v>
      </c>
    </row>
    <row r="15" spans="1:20" ht="29.25" customHeight="1">
      <c r="A15" s="48">
        <v>4</v>
      </c>
      <c r="B15" s="34" t="s">
        <v>367</v>
      </c>
      <c r="C15" s="225"/>
      <c r="D15" s="121"/>
      <c r="E15" s="121"/>
      <c r="F15" s="121">
        <v>5.6</v>
      </c>
      <c r="G15" s="121">
        <f t="shared" si="2"/>
        <v>34</v>
      </c>
      <c r="H15" s="121">
        <v>15</v>
      </c>
      <c r="I15" s="121"/>
      <c r="J15" s="121">
        <v>4</v>
      </c>
      <c r="K15" s="121">
        <v>15</v>
      </c>
      <c r="L15" s="154"/>
      <c r="M15" s="150">
        <f>D15-'Розшифровка 2 до формування'!D211</f>
        <v>0</v>
      </c>
      <c r="N15" s="150">
        <f>E15-'Розшифровка 2 до формування'!E211</f>
        <v>0</v>
      </c>
      <c r="O15" s="150">
        <f>F15-'Розшифровка 2 до формування'!F211</f>
        <v>0</v>
      </c>
      <c r="P15" s="150">
        <f>G15-'Розшифровка 2 до формування'!G211</f>
        <v>0</v>
      </c>
      <c r="Q15" s="150">
        <f>H15-'Розшифровка 2 до формування'!H211</f>
        <v>0</v>
      </c>
      <c r="R15" s="150">
        <f>I15-'Розшифровка 2 до формування'!I211</f>
        <v>0</v>
      </c>
      <c r="S15" s="150">
        <f>J15-'Розшифровка 2 до формування'!J211</f>
        <v>0</v>
      </c>
      <c r="T15" s="150">
        <f>K15-'Розшифровка 2 до формування'!K211</f>
        <v>0</v>
      </c>
    </row>
    <row r="16" spans="1:20" ht="33" customHeight="1">
      <c r="A16" s="48">
        <v>5</v>
      </c>
      <c r="B16" s="44" t="s">
        <v>323</v>
      </c>
      <c r="C16" s="225"/>
      <c r="D16" s="121">
        <v>479.4</v>
      </c>
      <c r="E16" s="121">
        <v>610.79999999999995</v>
      </c>
      <c r="F16" s="121">
        <v>754.8</v>
      </c>
      <c r="G16" s="121">
        <f t="shared" si="2"/>
        <v>876</v>
      </c>
      <c r="H16" s="121">
        <v>337.6</v>
      </c>
      <c r="I16" s="121">
        <v>190</v>
      </c>
      <c r="J16" s="121">
        <v>82.6</v>
      </c>
      <c r="K16" s="121">
        <v>265.8</v>
      </c>
      <c r="L16" s="154"/>
      <c r="M16" s="150">
        <f>D16-'Розшифровка 2 до формування'!D116</f>
        <v>0</v>
      </c>
      <c r="N16" s="150">
        <f>E16-'Розшифровка 2 до формування'!E116</f>
        <v>0</v>
      </c>
      <c r="O16" s="150">
        <f>F16-'Розшифровка 2 до формування'!F116</f>
        <v>0</v>
      </c>
      <c r="P16" s="150">
        <f>G16-'Розшифровка 2 до формування'!G116</f>
        <v>0</v>
      </c>
      <c r="Q16" s="150">
        <f>H16-'Розшифровка 2 до формування'!H116</f>
        <v>0</v>
      </c>
      <c r="R16" s="150">
        <f>I16-'Розшифровка 2 до формування'!I116</f>
        <v>0</v>
      </c>
      <c r="S16" s="150">
        <f>J16-'Розшифровка 2 до формування'!J116</f>
        <v>0</v>
      </c>
      <c r="T16" s="150">
        <f>K16-'Розшифровка 2 до формування'!K116</f>
        <v>0</v>
      </c>
    </row>
    <row r="17" spans="1:20" ht="49.5" customHeight="1">
      <c r="A17" s="48">
        <v>6</v>
      </c>
      <c r="B17" s="34" t="s">
        <v>526</v>
      </c>
      <c r="C17" s="14"/>
      <c r="D17" s="121">
        <v>1177.3</v>
      </c>
      <c r="E17" s="121">
        <v>694.2</v>
      </c>
      <c r="F17" s="121">
        <v>1434.3</v>
      </c>
      <c r="G17" s="121">
        <f t="shared" si="2"/>
        <v>882.8</v>
      </c>
      <c r="H17" s="121">
        <v>204.6</v>
      </c>
      <c r="I17" s="121">
        <v>218.1</v>
      </c>
      <c r="J17" s="121">
        <v>245.4</v>
      </c>
      <c r="K17" s="121">
        <v>214.7</v>
      </c>
      <c r="L17" s="154"/>
      <c r="M17" s="150">
        <f>D17-'Розшифровка 2 до формування'!D155</f>
        <v>0</v>
      </c>
      <c r="N17" s="150">
        <f>E17-'Розшифровка 2 до формування'!E155</f>
        <v>0</v>
      </c>
      <c r="O17" s="150">
        <f>F17-'Розшифровка 2 до формування'!F155</f>
        <v>0</v>
      </c>
      <c r="P17" s="150">
        <f>G17-'Розшифровка 2 до формування'!G155</f>
        <v>0</v>
      </c>
      <c r="Q17" s="150">
        <f>H17-'Розшифровка 2 до формування'!H155</f>
        <v>0</v>
      </c>
      <c r="R17" s="150">
        <f>I17-'Розшифровка 2 до формування'!I155</f>
        <v>0</v>
      </c>
      <c r="S17" s="150">
        <f>J17-'Розшифровка 2 до формування'!J155</f>
        <v>0</v>
      </c>
      <c r="T17" s="150">
        <f>K17-'Розшифровка 2 до формування'!K155</f>
        <v>0</v>
      </c>
    </row>
    <row r="18" spans="1:20" ht="45.75" customHeight="1">
      <c r="A18" s="48">
        <v>7</v>
      </c>
      <c r="B18" s="34" t="s">
        <v>243</v>
      </c>
      <c r="C18" s="15"/>
      <c r="D18" s="121">
        <v>88</v>
      </c>
      <c r="E18" s="121">
        <v>88</v>
      </c>
      <c r="F18" s="121">
        <v>165.7</v>
      </c>
      <c r="G18" s="121">
        <f t="shared" si="2"/>
        <v>144</v>
      </c>
      <c r="H18" s="121">
        <v>36</v>
      </c>
      <c r="I18" s="121">
        <v>36</v>
      </c>
      <c r="J18" s="121">
        <v>36</v>
      </c>
      <c r="K18" s="121">
        <v>36</v>
      </c>
      <c r="L18" s="154"/>
      <c r="M18" s="150">
        <f>D18-'Розшифровка 2 до формування'!D185</f>
        <v>0</v>
      </c>
      <c r="N18" s="150">
        <f>E18-'Розшифровка 2 до формування'!E185</f>
        <v>0</v>
      </c>
      <c r="O18" s="150">
        <f>F18-'Розшифровка 2 до формування'!F185</f>
        <v>0</v>
      </c>
      <c r="P18" s="150">
        <f>G18-'Розшифровка 2 до формування'!G185</f>
        <v>0</v>
      </c>
      <c r="Q18" s="150">
        <f>H18-'Розшифровка 2 до формування'!H185</f>
        <v>0</v>
      </c>
      <c r="R18" s="150">
        <f>I18-'Розшифровка 2 до формування'!I185</f>
        <v>0</v>
      </c>
      <c r="S18" s="150">
        <f>J18-'Розшифровка 2 до формування'!J185</f>
        <v>0</v>
      </c>
      <c r="T18" s="150">
        <f>K18-'Розшифровка 2 до формування'!K185</f>
        <v>0</v>
      </c>
    </row>
    <row r="19" spans="1:20" ht="27.75" customHeight="1">
      <c r="A19" s="6">
        <v>8</v>
      </c>
      <c r="B19" s="43" t="s">
        <v>391</v>
      </c>
      <c r="C19" s="14"/>
      <c r="D19" s="121"/>
      <c r="E19" s="121"/>
      <c r="F19" s="121">
        <v>2555.5</v>
      </c>
      <c r="G19" s="121">
        <f t="shared" si="2"/>
        <v>0</v>
      </c>
      <c r="H19" s="121"/>
      <c r="I19" s="121"/>
      <c r="J19" s="121"/>
      <c r="K19" s="121"/>
      <c r="L19" s="154"/>
      <c r="M19" s="150">
        <f>D19-'Розшифровка 2 до формування'!D195</f>
        <v>0</v>
      </c>
      <c r="N19" s="150">
        <f>E19-'Розшифровка 2 до формування'!E195</f>
        <v>0</v>
      </c>
      <c r="O19" s="150">
        <f>F19-'Розшифровка 2 до формування'!F195</f>
        <v>0</v>
      </c>
      <c r="P19" s="150">
        <f>G19-'Розшифровка 2 до формування'!G195</f>
        <v>0</v>
      </c>
      <c r="Q19" s="150">
        <f>H19-'Розшифровка 2 до формування'!H195</f>
        <v>0</v>
      </c>
      <c r="R19" s="150">
        <f>I19-'Розшифровка 2 до формування'!I195</f>
        <v>0</v>
      </c>
      <c r="S19" s="150">
        <f>J19-'Розшифровка 2 до формування'!J195</f>
        <v>0</v>
      </c>
      <c r="T19" s="150">
        <f>K19-'Розшифровка 2 до формування'!K195</f>
        <v>0</v>
      </c>
    </row>
    <row r="20" spans="1:20" ht="29.25" hidden="1" customHeight="1">
      <c r="A20" s="281"/>
      <c r="B20" s="282"/>
      <c r="C20" s="10"/>
      <c r="D20" s="121"/>
      <c r="E20" s="121"/>
      <c r="F20" s="121"/>
      <c r="G20" s="87"/>
      <c r="H20" s="121"/>
      <c r="I20" s="121"/>
      <c r="J20" s="221"/>
      <c r="K20" s="221"/>
      <c r="L20" s="154">
        <f t="shared" ref="L20:L23" si="3">H20+I20</f>
        <v>0</v>
      </c>
    </row>
    <row r="21" spans="1:20" ht="30.75" hidden="1" customHeight="1">
      <c r="A21" s="275" t="s">
        <v>172</v>
      </c>
      <c r="B21" s="276"/>
      <c r="C21" s="8">
        <v>1130</v>
      </c>
      <c r="D21" s="87"/>
      <c r="E21" s="87"/>
      <c r="F21" s="87"/>
      <c r="G21" s="87">
        <f t="shared" si="2"/>
        <v>0</v>
      </c>
      <c r="H21" s="87"/>
      <c r="I21" s="87"/>
      <c r="J21" s="222"/>
      <c r="K21" s="222"/>
      <c r="L21" s="154">
        <f t="shared" si="3"/>
        <v>0</v>
      </c>
    </row>
    <row r="22" spans="1:20" ht="24.75" hidden="1" customHeight="1">
      <c r="A22" s="19"/>
      <c r="B22" s="226"/>
      <c r="C22" s="10"/>
      <c r="D22" s="121"/>
      <c r="E22" s="121"/>
      <c r="F22" s="121"/>
      <c r="G22" s="87">
        <f t="shared" si="2"/>
        <v>0</v>
      </c>
      <c r="H22" s="121"/>
      <c r="I22" s="121"/>
      <c r="J22" s="221"/>
      <c r="K22" s="221"/>
      <c r="L22" s="154">
        <f t="shared" si="3"/>
        <v>0</v>
      </c>
    </row>
    <row r="23" spans="1:20" ht="30.75" hidden="1" customHeight="1">
      <c r="A23" s="273" t="s">
        <v>172</v>
      </c>
      <c r="B23" s="274"/>
      <c r="C23" s="8">
        <v>1130</v>
      </c>
      <c r="D23" s="87"/>
      <c r="E23" s="87"/>
      <c r="F23" s="87"/>
      <c r="G23" s="87">
        <f t="shared" si="2"/>
        <v>0</v>
      </c>
      <c r="H23" s="87"/>
      <c r="I23" s="87"/>
      <c r="J23" s="222"/>
      <c r="K23" s="222"/>
      <c r="L23" s="154">
        <f t="shared" si="3"/>
        <v>0</v>
      </c>
    </row>
    <row r="24" spans="1:20" ht="30.75" hidden="1" customHeight="1">
      <c r="A24" s="20"/>
      <c r="B24" s="21"/>
      <c r="C24" s="8"/>
      <c r="D24" s="87"/>
      <c r="E24" s="87"/>
      <c r="F24" s="87"/>
      <c r="G24" s="87"/>
      <c r="H24" s="87"/>
      <c r="I24" s="87"/>
      <c r="J24" s="222"/>
      <c r="K24" s="222"/>
      <c r="L24" s="154"/>
    </row>
    <row r="25" spans="1:20" ht="27" customHeight="1">
      <c r="A25" s="283" t="s">
        <v>69</v>
      </c>
      <c r="B25" s="284"/>
      <c r="C25" s="8">
        <v>1150</v>
      </c>
      <c r="D25" s="87">
        <f>D26</f>
        <v>1450.2</v>
      </c>
      <c r="E25" s="87">
        <f>E26</f>
        <v>1450.2</v>
      </c>
      <c r="F25" s="87">
        <f t="shared" ref="F25:K25" si="4">F26</f>
        <v>3048.4</v>
      </c>
      <c r="G25" s="87">
        <f>G26</f>
        <v>2652</v>
      </c>
      <c r="H25" s="87">
        <f t="shared" si="4"/>
        <v>663</v>
      </c>
      <c r="I25" s="87">
        <f t="shared" si="4"/>
        <v>663</v>
      </c>
      <c r="J25" s="87">
        <f t="shared" si="4"/>
        <v>663</v>
      </c>
      <c r="K25" s="87">
        <f t="shared" si="4"/>
        <v>663</v>
      </c>
      <c r="L25" s="154"/>
      <c r="M25" s="150">
        <f>D25-'Фінансовий план КНП'!C77</f>
        <v>0</v>
      </c>
      <c r="N25" s="150">
        <f>E25-'Фінансовий план КНП'!D77</f>
        <v>0</v>
      </c>
      <c r="O25" s="150">
        <f>F25-'Фінансовий план КНП'!E77</f>
        <v>0</v>
      </c>
      <c r="P25" s="150">
        <f>G25-'Фінансовий план КНП'!F77</f>
        <v>0</v>
      </c>
      <c r="Q25" s="150">
        <f>H25-'Фінансовий план КНП'!G77</f>
        <v>0</v>
      </c>
      <c r="R25" s="150">
        <f>I25-'Фінансовий план КНП'!H77</f>
        <v>0</v>
      </c>
      <c r="S25" s="150">
        <f>J25-'Фінансовий план КНП'!I77</f>
        <v>0</v>
      </c>
      <c r="T25" s="150">
        <f>K25-'Фінансовий план КНП'!J77</f>
        <v>0</v>
      </c>
    </row>
    <row r="26" spans="1:20" ht="35.25" customHeight="1">
      <c r="A26" s="48">
        <v>1</v>
      </c>
      <c r="B26" s="34" t="s">
        <v>348</v>
      </c>
      <c r="C26" s="8"/>
      <c r="D26" s="121">
        <v>1450.2</v>
      </c>
      <c r="E26" s="121">
        <v>1450.2</v>
      </c>
      <c r="F26" s="121">
        <v>3048.4</v>
      </c>
      <c r="G26" s="121">
        <f>H26+I26+J26+K26</f>
        <v>2652</v>
      </c>
      <c r="H26" s="121">
        <v>663</v>
      </c>
      <c r="I26" s="121">
        <v>663</v>
      </c>
      <c r="J26" s="221">
        <v>663</v>
      </c>
      <c r="K26" s="221">
        <v>663</v>
      </c>
      <c r="L26" s="154"/>
    </row>
    <row r="27" spans="1:20" ht="34.5" customHeight="1">
      <c r="A27" s="285" t="s">
        <v>173</v>
      </c>
      <c r="B27" s="286"/>
      <c r="C27" s="8"/>
      <c r="D27" s="9"/>
      <c r="E27" s="9"/>
      <c r="F27" s="9"/>
      <c r="G27" s="9"/>
      <c r="H27" s="9"/>
      <c r="I27" s="9"/>
      <c r="J27" s="9"/>
      <c r="K27" s="9"/>
      <c r="L27" s="154"/>
    </row>
    <row r="28" spans="1:20" ht="38.25" customHeight="1">
      <c r="A28" s="271" t="s">
        <v>184</v>
      </c>
      <c r="B28" s="272"/>
      <c r="C28" s="229"/>
      <c r="D28" s="9"/>
      <c r="E28" s="9"/>
      <c r="F28" s="9"/>
      <c r="G28" s="9"/>
      <c r="H28" s="9"/>
      <c r="I28" s="9"/>
      <c r="J28" s="9"/>
      <c r="K28" s="9"/>
      <c r="L28" s="154"/>
    </row>
    <row r="29" spans="1:20" ht="28.5" customHeight="1">
      <c r="A29" s="268" t="s">
        <v>493</v>
      </c>
      <c r="B29" s="269"/>
      <c r="C29" s="229">
        <v>1011</v>
      </c>
      <c r="D29" s="22">
        <f t="shared" ref="D29:E29" si="5">SUM(D30:D36)</f>
        <v>17242.2</v>
      </c>
      <c r="E29" s="22">
        <f t="shared" si="5"/>
        <v>20051</v>
      </c>
      <c r="F29" s="22">
        <f>SUM(F30:F36)</f>
        <v>29049.199999999997</v>
      </c>
      <c r="G29" s="22">
        <f>SUM(H29:K29)</f>
        <v>28740</v>
      </c>
      <c r="H29" s="22">
        <f t="shared" ref="H29:I29" si="6">SUM(H30:H36)</f>
        <v>9735</v>
      </c>
      <c r="I29" s="22">
        <f t="shared" si="6"/>
        <v>7416.9</v>
      </c>
      <c r="J29" s="22">
        <f>SUM(J30:J36)</f>
        <v>5345.3</v>
      </c>
      <c r="K29" s="22">
        <f>SUM(K30:K36)</f>
        <v>6242.8</v>
      </c>
      <c r="L29" s="127"/>
    </row>
    <row r="30" spans="1:20" ht="28.5" customHeight="1">
      <c r="A30" s="5"/>
      <c r="B30" s="90" t="s">
        <v>270</v>
      </c>
      <c r="C30" s="229"/>
      <c r="D30" s="23">
        <v>2583</v>
      </c>
      <c r="E30" s="11">
        <v>2272.8000000000002</v>
      </c>
      <c r="F30" s="11">
        <v>4702.2</v>
      </c>
      <c r="G30" s="23">
        <f>SUM(H30:K30)</f>
        <v>5348.1</v>
      </c>
      <c r="H30" s="23">
        <f>3962.1+52.6</f>
        <v>4014.7</v>
      </c>
      <c r="I30" s="23">
        <f>572+947.4-683</f>
        <v>836.40000000000009</v>
      </c>
      <c r="J30" s="23">
        <v>437.6</v>
      </c>
      <c r="K30" s="23">
        <v>59.4</v>
      </c>
      <c r="L30" s="154"/>
    </row>
    <row r="31" spans="1:20" ht="25.5" customHeight="1">
      <c r="A31" s="5"/>
      <c r="B31" s="47" t="s">
        <v>248</v>
      </c>
      <c r="C31" s="229"/>
      <c r="D31" s="23">
        <v>277.89999999999998</v>
      </c>
      <c r="E31" s="11">
        <v>127.9</v>
      </c>
      <c r="F31" s="11">
        <v>511.8</v>
      </c>
      <c r="G31" s="23">
        <f t="shared" si="2"/>
        <v>126.89999999999999</v>
      </c>
      <c r="H31" s="23">
        <v>0</v>
      </c>
      <c r="I31" s="23">
        <v>20.8</v>
      </c>
      <c r="J31" s="23">
        <v>94</v>
      </c>
      <c r="K31" s="23">
        <v>12.1</v>
      </c>
      <c r="L31" s="154"/>
    </row>
    <row r="32" spans="1:20" s="147" customFormat="1" ht="41.25" customHeight="1">
      <c r="A32" s="168"/>
      <c r="B32" s="91" t="s">
        <v>269</v>
      </c>
      <c r="C32" s="229"/>
      <c r="D32" s="23">
        <v>19.7</v>
      </c>
      <c r="E32" s="11">
        <v>281.5</v>
      </c>
      <c r="F32" s="11">
        <v>18.600000000000001</v>
      </c>
      <c r="G32" s="23">
        <f t="shared" si="2"/>
        <v>10.1</v>
      </c>
      <c r="H32" s="23">
        <v>10.1</v>
      </c>
      <c r="I32" s="23"/>
      <c r="J32" s="23"/>
      <c r="K32" s="23"/>
      <c r="L32" s="154"/>
    </row>
    <row r="33" spans="1:12" s="147" customFormat="1" ht="22.5" customHeight="1">
      <c r="A33" s="168"/>
      <c r="B33" s="44" t="s">
        <v>538</v>
      </c>
      <c r="C33" s="229"/>
      <c r="D33" s="23"/>
      <c r="E33" s="11"/>
      <c r="F33" s="11"/>
      <c r="G33" s="23"/>
      <c r="H33" s="23"/>
      <c r="I33" s="23">
        <v>68</v>
      </c>
      <c r="J33" s="23">
        <v>332</v>
      </c>
      <c r="K33" s="23"/>
      <c r="L33" s="154"/>
    </row>
    <row r="34" spans="1:12" s="147" customFormat="1" ht="62.25" customHeight="1">
      <c r="A34" s="168"/>
      <c r="B34" s="61" t="s">
        <v>494</v>
      </c>
      <c r="C34" s="229"/>
      <c r="D34" s="23">
        <v>107.3</v>
      </c>
      <c r="E34" s="11">
        <v>476.6</v>
      </c>
      <c r="F34" s="11"/>
      <c r="G34" s="23">
        <f t="shared" si="2"/>
        <v>476.6</v>
      </c>
      <c r="H34" s="23">
        <v>119.3</v>
      </c>
      <c r="I34" s="23">
        <v>130</v>
      </c>
      <c r="J34" s="23">
        <v>120</v>
      </c>
      <c r="K34" s="23">
        <v>107.3</v>
      </c>
      <c r="L34" s="154"/>
    </row>
    <row r="35" spans="1:12" s="147" customFormat="1" ht="26.25" customHeight="1">
      <c r="A35" s="168"/>
      <c r="B35" s="68" t="s">
        <v>244</v>
      </c>
      <c r="C35" s="229"/>
      <c r="D35" s="23">
        <v>324.7</v>
      </c>
      <c r="E35" s="11"/>
      <c r="F35" s="11"/>
      <c r="G35" s="23">
        <f t="shared" si="2"/>
        <v>80</v>
      </c>
      <c r="H35" s="23">
        <v>80</v>
      </c>
      <c r="I35" s="23"/>
      <c r="J35" s="23"/>
      <c r="K35" s="23"/>
      <c r="L35" s="154"/>
    </row>
    <row r="36" spans="1:12" s="147" customFormat="1" ht="58.5" customHeight="1">
      <c r="A36" s="168"/>
      <c r="B36" s="92" t="s">
        <v>395</v>
      </c>
      <c r="C36" s="229"/>
      <c r="D36" s="11">
        <v>13929.6</v>
      </c>
      <c r="E36" s="11">
        <v>16892.2</v>
      </c>
      <c r="F36" s="11">
        <v>23816.6</v>
      </c>
      <c r="G36" s="23">
        <f>SUM(H36:K36)</f>
        <v>22298.3</v>
      </c>
      <c r="H36" s="23">
        <v>5510.9</v>
      </c>
      <c r="I36" s="23">
        <f>6841.7-480</f>
        <v>6361.7</v>
      </c>
      <c r="J36" s="23">
        <f>4841.7-480</f>
        <v>4361.7</v>
      </c>
      <c r="K36" s="23">
        <f>6624-560</f>
        <v>6064</v>
      </c>
      <c r="L36" s="154"/>
    </row>
    <row r="37" spans="1:12" s="147" customFormat="1" ht="27.75" customHeight="1">
      <c r="A37" s="268" t="s">
        <v>175</v>
      </c>
      <c r="B37" s="269"/>
      <c r="C37" s="229">
        <v>1015</v>
      </c>
      <c r="D37" s="22">
        <f>SUM(D38:D45)</f>
        <v>123.00000000000001</v>
      </c>
      <c r="E37" s="22">
        <f>SUM(E38:E45)</f>
        <v>124.2</v>
      </c>
      <c r="F37" s="22">
        <f>SUM(F38:F47)</f>
        <v>4.1000000000000005</v>
      </c>
      <c r="G37" s="22">
        <f t="shared" ref="G37:K37" si="7">SUM(G38:G47)</f>
        <v>29</v>
      </c>
      <c r="H37" s="22">
        <f t="shared" si="7"/>
        <v>0</v>
      </c>
      <c r="I37" s="22">
        <f t="shared" si="7"/>
        <v>14.5</v>
      </c>
      <c r="J37" s="22">
        <f t="shared" si="7"/>
        <v>14.5</v>
      </c>
      <c r="K37" s="22">
        <f t="shared" si="7"/>
        <v>0</v>
      </c>
      <c r="L37" s="154"/>
    </row>
    <row r="38" spans="1:12" s="147" customFormat="1" ht="27" customHeight="1">
      <c r="A38" s="168"/>
      <c r="B38" s="91" t="s">
        <v>234</v>
      </c>
      <c r="C38" s="229"/>
      <c r="D38" s="23">
        <v>27.7</v>
      </c>
      <c r="E38" s="23">
        <v>27.7</v>
      </c>
      <c r="F38" s="23"/>
      <c r="G38" s="23">
        <f t="shared" ref="G38:G63" si="8">SUM(H38:K38)</f>
        <v>0</v>
      </c>
      <c r="H38" s="24"/>
      <c r="I38" s="23"/>
      <c r="J38" s="23"/>
      <c r="K38" s="23"/>
      <c r="L38" s="154"/>
    </row>
    <row r="39" spans="1:12" s="147" customFormat="1" ht="24.75" customHeight="1">
      <c r="A39" s="168"/>
      <c r="B39" s="91" t="s">
        <v>230</v>
      </c>
      <c r="C39" s="229"/>
      <c r="D39" s="23">
        <v>66.400000000000006</v>
      </c>
      <c r="E39" s="23">
        <v>66.400000000000006</v>
      </c>
      <c r="F39" s="23"/>
      <c r="G39" s="23">
        <f t="shared" si="8"/>
        <v>29</v>
      </c>
      <c r="H39" s="24"/>
      <c r="I39" s="23">
        <v>14.5</v>
      </c>
      <c r="J39" s="23">
        <v>14.5</v>
      </c>
      <c r="K39" s="23"/>
      <c r="L39" s="154"/>
    </row>
    <row r="40" spans="1:12" s="147" customFormat="1" ht="27" customHeight="1">
      <c r="A40" s="168"/>
      <c r="B40" s="91" t="s">
        <v>274</v>
      </c>
      <c r="C40" s="229"/>
      <c r="D40" s="23">
        <v>3.6</v>
      </c>
      <c r="E40" s="23">
        <v>3.6</v>
      </c>
      <c r="F40" s="23">
        <v>0.6</v>
      </c>
      <c r="G40" s="23">
        <f t="shared" si="8"/>
        <v>0</v>
      </c>
      <c r="H40" s="24"/>
      <c r="I40" s="23"/>
      <c r="J40" s="25"/>
      <c r="K40" s="25"/>
      <c r="L40" s="154"/>
    </row>
    <row r="41" spans="1:12" s="147" customFormat="1" ht="27" customHeight="1">
      <c r="A41" s="168"/>
      <c r="B41" s="91" t="s">
        <v>273</v>
      </c>
      <c r="C41" s="229"/>
      <c r="D41" s="23">
        <v>1.7</v>
      </c>
      <c r="E41" s="23">
        <v>1.7</v>
      </c>
      <c r="F41" s="23">
        <v>0</v>
      </c>
      <c r="G41" s="23">
        <f t="shared" si="8"/>
        <v>0</v>
      </c>
      <c r="H41" s="24"/>
      <c r="I41" s="23"/>
      <c r="J41" s="25"/>
      <c r="K41" s="25"/>
      <c r="L41" s="154"/>
    </row>
    <row r="42" spans="1:12" s="147" customFormat="1" ht="27" customHeight="1">
      <c r="A42" s="168"/>
      <c r="B42" s="91" t="s">
        <v>232</v>
      </c>
      <c r="C42" s="229"/>
      <c r="D42" s="23">
        <v>4.3</v>
      </c>
      <c r="E42" s="23">
        <v>4.3</v>
      </c>
      <c r="F42" s="23">
        <v>0.6</v>
      </c>
      <c r="G42" s="23">
        <f t="shared" si="8"/>
        <v>0</v>
      </c>
      <c r="H42" s="24"/>
      <c r="I42" s="23"/>
      <c r="J42" s="25"/>
      <c r="K42" s="25"/>
      <c r="L42" s="154"/>
    </row>
    <row r="43" spans="1:12" s="147" customFormat="1" ht="27" customHeight="1">
      <c r="A43" s="168"/>
      <c r="B43" s="91" t="s">
        <v>233</v>
      </c>
      <c r="C43" s="229"/>
      <c r="D43" s="23">
        <v>2.2000000000000002</v>
      </c>
      <c r="E43" s="23">
        <v>2.2000000000000002</v>
      </c>
      <c r="F43" s="23">
        <v>2.2000000000000002</v>
      </c>
      <c r="G43" s="23">
        <f t="shared" si="8"/>
        <v>0</v>
      </c>
      <c r="H43" s="24"/>
      <c r="I43" s="23"/>
      <c r="J43" s="25"/>
      <c r="K43" s="25"/>
      <c r="L43" s="154"/>
    </row>
    <row r="44" spans="1:12" s="147" customFormat="1" ht="27" customHeight="1">
      <c r="A44" s="168"/>
      <c r="B44" s="91" t="s">
        <v>275</v>
      </c>
      <c r="C44" s="229"/>
      <c r="D44" s="23">
        <v>7.2</v>
      </c>
      <c r="E44" s="23">
        <v>7.2</v>
      </c>
      <c r="F44" s="23">
        <v>0.7</v>
      </c>
      <c r="G44" s="23">
        <f t="shared" si="8"/>
        <v>0</v>
      </c>
      <c r="H44" s="24"/>
      <c r="I44" s="24"/>
      <c r="J44" s="24"/>
      <c r="K44" s="24"/>
      <c r="L44" s="154"/>
    </row>
    <row r="45" spans="1:12" s="147" customFormat="1" ht="27" customHeight="1">
      <c r="A45" s="168"/>
      <c r="B45" s="91" t="s">
        <v>325</v>
      </c>
      <c r="C45" s="229"/>
      <c r="D45" s="23">
        <v>9.9</v>
      </c>
      <c r="E45" s="23">
        <v>11.1</v>
      </c>
      <c r="F45" s="23"/>
      <c r="G45" s="23">
        <f t="shared" si="8"/>
        <v>0</v>
      </c>
      <c r="H45" s="24"/>
      <c r="I45" s="24"/>
      <c r="J45" s="24"/>
      <c r="K45" s="24"/>
      <c r="L45" s="154"/>
    </row>
    <row r="46" spans="1:12" s="147" customFormat="1" ht="27" hidden="1" customHeight="1">
      <c r="A46" s="266" t="s">
        <v>235</v>
      </c>
      <c r="B46" s="267"/>
      <c r="C46" s="229"/>
      <c r="D46" s="22"/>
      <c r="E46" s="23"/>
      <c r="F46" s="23"/>
      <c r="G46" s="23">
        <f t="shared" si="8"/>
        <v>0</v>
      </c>
      <c r="H46" s="24"/>
      <c r="I46" s="24"/>
      <c r="J46" s="24"/>
      <c r="K46" s="24"/>
      <c r="L46" s="154"/>
    </row>
    <row r="47" spans="1:12" s="147" customFormat="1" ht="27" hidden="1" customHeight="1">
      <c r="A47" s="266" t="s">
        <v>294</v>
      </c>
      <c r="B47" s="267"/>
      <c r="C47" s="229"/>
      <c r="D47" s="22"/>
      <c r="E47" s="23"/>
      <c r="F47" s="23"/>
      <c r="G47" s="23">
        <f t="shared" si="8"/>
        <v>0</v>
      </c>
      <c r="H47" s="24"/>
      <c r="I47" s="24"/>
      <c r="J47" s="24"/>
      <c r="K47" s="24"/>
      <c r="L47" s="154"/>
    </row>
    <row r="48" spans="1:12" s="147" customFormat="1" ht="29.25" customHeight="1">
      <c r="A48" s="271" t="s">
        <v>176</v>
      </c>
      <c r="B48" s="272"/>
      <c r="C48" s="26"/>
      <c r="D48" s="22"/>
      <c r="E48" s="23"/>
      <c r="F48" s="23"/>
      <c r="G48" s="23"/>
      <c r="H48" s="24"/>
      <c r="I48" s="24"/>
      <c r="J48" s="24"/>
      <c r="K48" s="24"/>
      <c r="L48" s="154"/>
    </row>
    <row r="49" spans="1:17" s="147" customFormat="1" ht="29.25" customHeight="1">
      <c r="A49" s="270" t="s">
        <v>174</v>
      </c>
      <c r="B49" s="270"/>
      <c r="C49" s="229">
        <v>1021</v>
      </c>
      <c r="D49" s="22">
        <f t="shared" ref="D49:K49" si="9">SUM(D50:D70)</f>
        <v>1198.9000000000001</v>
      </c>
      <c r="E49" s="22">
        <f t="shared" si="9"/>
        <v>1687.4</v>
      </c>
      <c r="F49" s="22">
        <f t="shared" si="9"/>
        <v>1365.9</v>
      </c>
      <c r="G49" s="22">
        <f t="shared" si="9"/>
        <v>650.5</v>
      </c>
      <c r="H49" s="22">
        <f t="shared" si="9"/>
        <v>306.5</v>
      </c>
      <c r="I49" s="22">
        <f t="shared" si="9"/>
        <v>122.30000000000001</v>
      </c>
      <c r="J49" s="22">
        <f t="shared" si="9"/>
        <v>94.199999999999989</v>
      </c>
      <c r="K49" s="22">
        <f t="shared" si="9"/>
        <v>127.5</v>
      </c>
      <c r="L49" s="169"/>
      <c r="M49" s="128"/>
      <c r="N49" s="128"/>
      <c r="O49" s="128"/>
      <c r="P49" s="128"/>
      <c r="Q49" s="128"/>
    </row>
    <row r="50" spans="1:17" s="147" customFormat="1" ht="37.5" customHeight="1">
      <c r="A50" s="168"/>
      <c r="B50" s="68" t="s">
        <v>495</v>
      </c>
      <c r="C50" s="229"/>
      <c r="D50" s="11">
        <v>107.8</v>
      </c>
      <c r="E50" s="11">
        <v>297.89999999999998</v>
      </c>
      <c r="F50" s="11">
        <v>428</v>
      </c>
      <c r="G50" s="23">
        <f t="shared" si="8"/>
        <v>297.90000000000003</v>
      </c>
      <c r="H50" s="23">
        <v>190.3</v>
      </c>
      <c r="I50" s="23">
        <v>36.1</v>
      </c>
      <c r="J50" s="25">
        <v>35.4</v>
      </c>
      <c r="K50" s="25">
        <v>36.1</v>
      </c>
      <c r="L50" s="154"/>
    </row>
    <row r="51" spans="1:17" s="147" customFormat="1" ht="27" customHeight="1">
      <c r="A51" s="168"/>
      <c r="B51" s="42" t="s">
        <v>337</v>
      </c>
      <c r="C51" s="229"/>
      <c r="D51" s="11">
        <v>12.5</v>
      </c>
      <c r="E51" s="11">
        <v>57.6</v>
      </c>
      <c r="F51" s="23">
        <v>18.600000000000001</v>
      </c>
      <c r="G51" s="23">
        <f t="shared" si="8"/>
        <v>67.400000000000006</v>
      </c>
      <c r="H51" s="23">
        <v>33</v>
      </c>
      <c r="I51" s="23">
        <v>18</v>
      </c>
      <c r="J51" s="23">
        <v>8.1999999999999993</v>
      </c>
      <c r="K51" s="23">
        <v>8.1999999999999993</v>
      </c>
      <c r="L51" s="154"/>
    </row>
    <row r="52" spans="1:17" s="147" customFormat="1" ht="21" customHeight="1">
      <c r="A52" s="168"/>
      <c r="B52" s="111" t="s">
        <v>294</v>
      </c>
      <c r="C52" s="229"/>
      <c r="D52" s="11"/>
      <c r="E52" s="11"/>
      <c r="F52" s="23">
        <v>24.3</v>
      </c>
      <c r="G52" s="23">
        <f t="shared" si="8"/>
        <v>0</v>
      </c>
      <c r="H52" s="23"/>
      <c r="I52" s="23"/>
      <c r="J52" s="23"/>
      <c r="K52" s="23"/>
      <c r="L52" s="154"/>
    </row>
    <row r="53" spans="1:17" s="147" customFormat="1" ht="27" customHeight="1">
      <c r="A53" s="168"/>
      <c r="B53" s="111" t="s">
        <v>359</v>
      </c>
      <c r="C53" s="229"/>
      <c r="D53" s="11">
        <v>20.8</v>
      </c>
      <c r="E53" s="11">
        <v>69.400000000000006</v>
      </c>
      <c r="F53" s="23">
        <v>28.8</v>
      </c>
      <c r="G53" s="23">
        <f t="shared" si="8"/>
        <v>107.2</v>
      </c>
      <c r="H53" s="23">
        <v>32.200000000000003</v>
      </c>
      <c r="I53" s="23">
        <v>32.200000000000003</v>
      </c>
      <c r="J53" s="23">
        <v>10.6</v>
      </c>
      <c r="K53" s="23">
        <v>32.200000000000003</v>
      </c>
      <c r="L53" s="154"/>
    </row>
    <row r="54" spans="1:17" s="147" customFormat="1" ht="21.75" customHeight="1">
      <c r="A54" s="168"/>
      <c r="B54" s="71" t="s">
        <v>434</v>
      </c>
      <c r="C54" s="229"/>
      <c r="D54" s="11">
        <v>159.4</v>
      </c>
      <c r="E54" s="11"/>
      <c r="F54" s="11"/>
      <c r="G54" s="23">
        <f t="shared" si="8"/>
        <v>0</v>
      </c>
      <c r="H54" s="23"/>
      <c r="I54" s="23"/>
      <c r="J54" s="25"/>
      <c r="K54" s="25"/>
      <c r="L54" s="154"/>
    </row>
    <row r="55" spans="1:17" s="147" customFormat="1" ht="24.75" customHeight="1">
      <c r="A55" s="168"/>
      <c r="B55" s="71" t="s">
        <v>326</v>
      </c>
      <c r="C55" s="229"/>
      <c r="D55" s="11">
        <v>76.099999999999994</v>
      </c>
      <c r="E55" s="11"/>
      <c r="F55" s="11"/>
      <c r="G55" s="23">
        <f t="shared" si="8"/>
        <v>0</v>
      </c>
      <c r="H55" s="24"/>
      <c r="I55" s="24"/>
      <c r="J55" s="24"/>
      <c r="K55" s="24"/>
      <c r="L55" s="154"/>
    </row>
    <row r="56" spans="1:17" s="147" customFormat="1" ht="24.75" customHeight="1">
      <c r="A56" s="168"/>
      <c r="B56" s="71" t="s">
        <v>357</v>
      </c>
      <c r="C56" s="229"/>
      <c r="D56" s="11">
        <v>117.3</v>
      </c>
      <c r="E56" s="11"/>
      <c r="F56" s="11"/>
      <c r="G56" s="23">
        <f t="shared" si="8"/>
        <v>0</v>
      </c>
      <c r="H56" s="24"/>
      <c r="I56" s="24"/>
      <c r="J56" s="24"/>
      <c r="K56" s="24"/>
      <c r="L56" s="154"/>
    </row>
    <row r="57" spans="1:17" s="147" customFormat="1" ht="24.75" hidden="1" customHeight="1">
      <c r="A57" s="27"/>
      <c r="B57" s="70" t="s">
        <v>368</v>
      </c>
      <c r="C57" s="229"/>
      <c r="D57" s="11"/>
      <c r="E57" s="11"/>
      <c r="F57" s="11">
        <v>0</v>
      </c>
      <c r="G57" s="23">
        <f t="shared" si="8"/>
        <v>0</v>
      </c>
      <c r="H57" s="24"/>
      <c r="I57" s="24"/>
      <c r="J57" s="24"/>
      <c r="K57" s="24"/>
      <c r="L57" s="154"/>
    </row>
    <row r="58" spans="1:17" s="147" customFormat="1" ht="24.75" customHeight="1">
      <c r="A58" s="168"/>
      <c r="B58" s="71" t="s">
        <v>249</v>
      </c>
      <c r="C58" s="229"/>
      <c r="D58" s="11">
        <v>23</v>
      </c>
      <c r="E58" s="11">
        <v>88</v>
      </c>
      <c r="F58" s="11"/>
      <c r="G58" s="23">
        <f t="shared" si="8"/>
        <v>0</v>
      </c>
      <c r="H58" s="24"/>
      <c r="I58" s="24"/>
      <c r="J58" s="24"/>
      <c r="K58" s="24"/>
      <c r="L58" s="154"/>
    </row>
    <row r="59" spans="1:17" s="147" customFormat="1" ht="24.75" customHeight="1">
      <c r="A59" s="168"/>
      <c r="B59" s="71" t="s">
        <v>375</v>
      </c>
      <c r="C59" s="229"/>
      <c r="D59" s="11">
        <v>65</v>
      </c>
      <c r="E59" s="11"/>
      <c r="F59" s="11"/>
      <c r="G59" s="23">
        <f t="shared" si="8"/>
        <v>0</v>
      </c>
      <c r="H59" s="24"/>
      <c r="I59" s="24"/>
      <c r="J59" s="24"/>
      <c r="K59" s="24"/>
      <c r="L59" s="154"/>
    </row>
    <row r="60" spans="1:17" s="147" customFormat="1" ht="24.75" customHeight="1">
      <c r="A60" s="168"/>
      <c r="B60" s="71" t="s">
        <v>235</v>
      </c>
      <c r="C60" s="229"/>
      <c r="D60" s="11">
        <v>16.100000000000001</v>
      </c>
      <c r="E60" s="11"/>
      <c r="F60" s="11"/>
      <c r="G60" s="23">
        <f t="shared" si="8"/>
        <v>0</v>
      </c>
      <c r="H60" s="24"/>
      <c r="I60" s="24"/>
      <c r="J60" s="24"/>
      <c r="K60" s="24"/>
      <c r="L60" s="154"/>
    </row>
    <row r="61" spans="1:17" s="147" customFormat="1" ht="24.75" customHeight="1">
      <c r="A61" s="168"/>
      <c r="B61" s="92" t="s">
        <v>439</v>
      </c>
      <c r="C61" s="229"/>
      <c r="D61" s="11">
        <v>30.4</v>
      </c>
      <c r="E61" s="11"/>
      <c r="F61" s="11"/>
      <c r="G61" s="23">
        <f t="shared" si="8"/>
        <v>0</v>
      </c>
      <c r="H61" s="24"/>
      <c r="I61" s="24"/>
      <c r="J61" s="24"/>
      <c r="K61" s="24"/>
      <c r="L61" s="154"/>
    </row>
    <row r="62" spans="1:17" s="147" customFormat="1" ht="24.75" customHeight="1">
      <c r="A62" s="168"/>
      <c r="B62" s="71" t="s">
        <v>440</v>
      </c>
      <c r="C62" s="229"/>
      <c r="D62" s="11">
        <v>265.3</v>
      </c>
      <c r="E62" s="11">
        <v>1168</v>
      </c>
      <c r="F62" s="11">
        <v>165.7</v>
      </c>
      <c r="G62" s="23">
        <f t="shared" si="8"/>
        <v>144</v>
      </c>
      <c r="H62" s="23">
        <v>36</v>
      </c>
      <c r="I62" s="23">
        <v>36</v>
      </c>
      <c r="J62" s="23">
        <v>36</v>
      </c>
      <c r="K62" s="23">
        <v>36</v>
      </c>
      <c r="L62" s="154"/>
    </row>
    <row r="63" spans="1:17" s="147" customFormat="1" ht="24.75" customHeight="1">
      <c r="A63" s="168"/>
      <c r="B63" s="71" t="s">
        <v>338</v>
      </c>
      <c r="C63" s="229"/>
      <c r="D63" s="28"/>
      <c r="E63" s="28"/>
      <c r="F63" s="28">
        <v>170.5</v>
      </c>
      <c r="G63" s="23">
        <f t="shared" si="8"/>
        <v>0</v>
      </c>
      <c r="H63" s="29"/>
      <c r="I63" s="29"/>
      <c r="J63" s="29"/>
      <c r="K63" s="29"/>
      <c r="L63" s="154"/>
    </row>
    <row r="64" spans="1:17" s="147" customFormat="1" ht="24.75" customHeight="1">
      <c r="A64" s="168"/>
      <c r="B64" s="91" t="s">
        <v>358</v>
      </c>
      <c r="C64" s="229"/>
      <c r="D64" s="11">
        <v>11.6</v>
      </c>
      <c r="E64" s="11">
        <v>0</v>
      </c>
      <c r="F64" s="11"/>
      <c r="G64" s="23">
        <f t="shared" ref="G64:G73" si="10">SUM(H64:K64)</f>
        <v>0</v>
      </c>
      <c r="H64" s="23"/>
      <c r="I64" s="23"/>
      <c r="J64" s="23"/>
      <c r="K64" s="23"/>
      <c r="L64" s="154"/>
    </row>
    <row r="65" spans="1:17" s="147" customFormat="1" ht="24.75" customHeight="1">
      <c r="A65" s="168"/>
      <c r="B65" s="93" t="s">
        <v>235</v>
      </c>
      <c r="C65" s="229"/>
      <c r="D65" s="11"/>
      <c r="E65" s="11"/>
      <c r="F65" s="11">
        <v>530</v>
      </c>
      <c r="G65" s="23">
        <f t="shared" si="10"/>
        <v>34</v>
      </c>
      <c r="H65" s="23">
        <f>155-140</f>
        <v>15</v>
      </c>
      <c r="I65" s="23"/>
      <c r="J65" s="23">
        <v>4</v>
      </c>
      <c r="K65" s="23">
        <v>15</v>
      </c>
      <c r="L65" s="154"/>
    </row>
    <row r="66" spans="1:17" s="147" customFormat="1" ht="24.75" customHeight="1">
      <c r="A66" s="168"/>
      <c r="B66" s="93" t="s">
        <v>327</v>
      </c>
      <c r="C66" s="229"/>
      <c r="D66" s="11">
        <v>260.39999999999998</v>
      </c>
      <c r="E66" s="11"/>
      <c r="F66" s="11"/>
      <c r="G66" s="23">
        <f t="shared" si="10"/>
        <v>0</v>
      </c>
      <c r="H66" s="23"/>
      <c r="I66" s="23"/>
      <c r="J66" s="23"/>
      <c r="K66" s="23"/>
      <c r="L66" s="154"/>
    </row>
    <row r="67" spans="1:17" s="147" customFormat="1" ht="24.75" customHeight="1">
      <c r="A67" s="168"/>
      <c r="B67" s="93" t="s">
        <v>236</v>
      </c>
      <c r="C67" s="229"/>
      <c r="D67" s="11">
        <v>8.6999999999999993</v>
      </c>
      <c r="E67" s="11"/>
      <c r="F67" s="11"/>
      <c r="G67" s="23">
        <f t="shared" si="10"/>
        <v>0</v>
      </c>
      <c r="H67" s="23"/>
      <c r="I67" s="23"/>
      <c r="J67" s="23"/>
      <c r="K67" s="23"/>
      <c r="L67" s="154"/>
    </row>
    <row r="68" spans="1:17" s="147" customFormat="1" ht="24.75" customHeight="1">
      <c r="A68" s="168"/>
      <c r="B68" s="93" t="s">
        <v>268</v>
      </c>
      <c r="C68" s="229"/>
      <c r="D68" s="11">
        <v>5</v>
      </c>
      <c r="E68" s="11">
        <v>5</v>
      </c>
      <c r="F68" s="11"/>
      <c r="G68" s="23">
        <f t="shared" si="10"/>
        <v>0</v>
      </c>
      <c r="H68" s="23"/>
      <c r="I68" s="23"/>
      <c r="J68" s="23"/>
      <c r="K68" s="23"/>
      <c r="L68" s="154"/>
    </row>
    <row r="69" spans="1:17" s="147" customFormat="1" ht="27" customHeight="1">
      <c r="A69" s="168"/>
      <c r="B69" s="93" t="s">
        <v>240</v>
      </c>
      <c r="C69" s="229"/>
      <c r="D69" s="11">
        <v>18</v>
      </c>
      <c r="E69" s="11">
        <v>0</v>
      </c>
      <c r="F69" s="11"/>
      <c r="G69" s="23">
        <f t="shared" si="10"/>
        <v>0</v>
      </c>
      <c r="H69" s="23"/>
      <c r="I69" s="23"/>
      <c r="J69" s="25"/>
      <c r="K69" s="25"/>
      <c r="L69" s="154"/>
    </row>
    <row r="70" spans="1:17" s="147" customFormat="1" ht="28.5" customHeight="1">
      <c r="A70" s="168"/>
      <c r="B70" s="93" t="s">
        <v>241</v>
      </c>
      <c r="C70" s="229"/>
      <c r="D70" s="11">
        <v>1.5</v>
      </c>
      <c r="E70" s="11">
        <v>1.5</v>
      </c>
      <c r="F70" s="11"/>
      <c r="G70" s="23">
        <f t="shared" si="10"/>
        <v>0</v>
      </c>
      <c r="H70" s="23"/>
      <c r="I70" s="23"/>
      <c r="J70" s="25"/>
      <c r="K70" s="25"/>
      <c r="L70" s="154"/>
    </row>
    <row r="71" spans="1:17" s="147" customFormat="1" ht="31.5" customHeight="1">
      <c r="A71" s="268" t="s">
        <v>177</v>
      </c>
      <c r="B71" s="269"/>
      <c r="C71" s="26">
        <v>1025</v>
      </c>
      <c r="D71" s="22">
        <f t="shared" ref="D71:K71" si="11">SUM(D72:D114)</f>
        <v>4895.2999999999993</v>
      </c>
      <c r="E71" s="22">
        <f t="shared" si="11"/>
        <v>5171.7</v>
      </c>
      <c r="F71" s="22">
        <f t="shared" si="11"/>
        <v>6120.2999999999984</v>
      </c>
      <c r="G71" s="22">
        <f t="shared" si="11"/>
        <v>8514.6999999999989</v>
      </c>
      <c r="H71" s="22">
        <f t="shared" si="11"/>
        <v>2850.1999999999994</v>
      </c>
      <c r="I71" s="22">
        <f t="shared" si="11"/>
        <v>1532.0000000000002</v>
      </c>
      <c r="J71" s="22">
        <f t="shared" si="11"/>
        <v>1342.3</v>
      </c>
      <c r="K71" s="22">
        <f t="shared" si="11"/>
        <v>2790.2</v>
      </c>
      <c r="L71" s="127"/>
      <c r="M71" s="128"/>
      <c r="N71" s="128"/>
      <c r="O71" s="128"/>
      <c r="P71" s="129"/>
      <c r="Q71" s="128"/>
    </row>
    <row r="72" spans="1:17" s="147" customFormat="1" ht="29.25" customHeight="1">
      <c r="A72" s="168"/>
      <c r="B72" s="90" t="s">
        <v>329</v>
      </c>
      <c r="C72" s="26"/>
      <c r="D72" s="23">
        <v>13.9</v>
      </c>
      <c r="E72" s="23">
        <v>21.9</v>
      </c>
      <c r="F72" s="23">
        <v>8.3000000000000007</v>
      </c>
      <c r="G72" s="23">
        <f t="shared" si="10"/>
        <v>21.9</v>
      </c>
      <c r="H72" s="23">
        <f>'Розшифровка 2 до формування'!H28</f>
        <v>6.8</v>
      </c>
      <c r="I72" s="23">
        <f>'Розшифровка 2 до формування'!I28</f>
        <v>6.8</v>
      </c>
      <c r="J72" s="23">
        <f>'Розшифровка 2 до формування'!J28</f>
        <v>1.5</v>
      </c>
      <c r="K72" s="23">
        <f>'Розшифровка 2 до формування'!K28</f>
        <v>6.8</v>
      </c>
      <c r="L72" s="154"/>
    </row>
    <row r="73" spans="1:17" s="147" customFormat="1" ht="24" customHeight="1">
      <c r="A73" s="168"/>
      <c r="B73" s="90" t="s">
        <v>328</v>
      </c>
      <c r="C73" s="26"/>
      <c r="D73" s="23">
        <v>3.9</v>
      </c>
      <c r="E73" s="23">
        <v>6</v>
      </c>
      <c r="F73" s="23"/>
      <c r="G73" s="23">
        <f t="shared" si="10"/>
        <v>0</v>
      </c>
      <c r="H73" s="23"/>
      <c r="I73" s="23"/>
      <c r="J73" s="23"/>
      <c r="K73" s="23"/>
      <c r="L73" s="154"/>
    </row>
    <row r="74" spans="1:17" s="147" customFormat="1" ht="29.25" customHeight="1">
      <c r="A74" s="168"/>
      <c r="B74" s="90" t="s">
        <v>330</v>
      </c>
      <c r="C74" s="26"/>
      <c r="D74" s="23">
        <v>12.1</v>
      </c>
      <c r="E74" s="23">
        <v>41.4</v>
      </c>
      <c r="F74" s="23">
        <v>1.7</v>
      </c>
      <c r="G74" s="23">
        <f t="shared" ref="G74:G102" si="12">SUM(H74:K74)</f>
        <v>19.2</v>
      </c>
      <c r="H74" s="23">
        <f>'Розшифровка 2 до формування'!H32</f>
        <v>5.3</v>
      </c>
      <c r="I74" s="23">
        <f>'Розшифровка 2 до формування'!I32</f>
        <v>5.3</v>
      </c>
      <c r="J74" s="23">
        <f>'Розшифровка 2 до формування'!J32</f>
        <v>3.3</v>
      </c>
      <c r="K74" s="23">
        <f>'Розшифровка 2 до формування'!K32</f>
        <v>5.3</v>
      </c>
      <c r="L74" s="154"/>
    </row>
    <row r="75" spans="1:17" s="147" customFormat="1" ht="30.75" customHeight="1">
      <c r="A75" s="168"/>
      <c r="B75" s="90" t="s">
        <v>331</v>
      </c>
      <c r="C75" s="26"/>
      <c r="D75" s="23">
        <v>28.8</v>
      </c>
      <c r="E75" s="23">
        <v>79.2</v>
      </c>
      <c r="F75" s="23"/>
      <c r="G75" s="23">
        <f t="shared" si="12"/>
        <v>79.2</v>
      </c>
      <c r="H75" s="23">
        <f>'Розшифровка 2 до формування'!H33</f>
        <v>25.2</v>
      </c>
      <c r="I75" s="23">
        <f>'Розшифровка 2 до формування'!I33</f>
        <v>25.2</v>
      </c>
      <c r="J75" s="23">
        <f>'Розшифровка 2 до формування'!J33</f>
        <v>3.6</v>
      </c>
      <c r="K75" s="23">
        <f>'Розшифровка 2 до формування'!K33</f>
        <v>25.2</v>
      </c>
      <c r="L75" s="154"/>
    </row>
    <row r="76" spans="1:17" s="147" customFormat="1" ht="24" customHeight="1">
      <c r="A76" s="168"/>
      <c r="B76" s="90" t="s">
        <v>332</v>
      </c>
      <c r="C76" s="26"/>
      <c r="D76" s="23">
        <v>20.6</v>
      </c>
      <c r="E76" s="23">
        <v>28.8</v>
      </c>
      <c r="F76" s="23">
        <v>14.4</v>
      </c>
      <c r="G76" s="23">
        <f t="shared" si="12"/>
        <v>28.8</v>
      </c>
      <c r="H76" s="23">
        <f>'Розшифровка 2 до формування'!H34</f>
        <v>7.2</v>
      </c>
      <c r="I76" s="23">
        <f>'Розшифровка 2 до формування'!I34</f>
        <v>7.2</v>
      </c>
      <c r="J76" s="23">
        <f>'Розшифровка 2 до формування'!J34</f>
        <v>7.2</v>
      </c>
      <c r="K76" s="23">
        <f>'Розшифровка 2 до формування'!K34</f>
        <v>7.2</v>
      </c>
      <c r="L76" s="154"/>
    </row>
    <row r="77" spans="1:17" s="147" customFormat="1" ht="26.25" customHeight="1">
      <c r="A77" s="168"/>
      <c r="B77" s="90" t="s">
        <v>333</v>
      </c>
      <c r="C77" s="26"/>
      <c r="D77" s="23">
        <v>19.100000000000001</v>
      </c>
      <c r="E77" s="23">
        <v>27.6</v>
      </c>
      <c r="F77" s="23">
        <v>13.8</v>
      </c>
      <c r="G77" s="23">
        <f t="shared" si="12"/>
        <v>27.6</v>
      </c>
      <c r="H77" s="23">
        <f>'Розшифровка 2 до формування'!H35</f>
        <v>6.9</v>
      </c>
      <c r="I77" s="23">
        <f>'Розшифровка 2 до формування'!I35</f>
        <v>6.9</v>
      </c>
      <c r="J77" s="23">
        <f>'Розшифровка 2 до формування'!J35</f>
        <v>6.9</v>
      </c>
      <c r="K77" s="23">
        <f>'Розшифровка 2 до формування'!K35</f>
        <v>6.9</v>
      </c>
      <c r="L77" s="154"/>
    </row>
    <row r="78" spans="1:17" s="147" customFormat="1" ht="24.75" customHeight="1">
      <c r="A78" s="168"/>
      <c r="B78" s="90" t="s">
        <v>334</v>
      </c>
      <c r="C78" s="26"/>
      <c r="D78" s="23">
        <v>31.2</v>
      </c>
      <c r="E78" s="23">
        <v>44</v>
      </c>
      <c r="F78" s="23">
        <v>22</v>
      </c>
      <c r="G78" s="23">
        <f t="shared" si="12"/>
        <v>44</v>
      </c>
      <c r="H78" s="23">
        <f>'Розшифровка 2 до формування'!H36</f>
        <v>11</v>
      </c>
      <c r="I78" s="23">
        <f>'Розшифровка 2 до формування'!I36</f>
        <v>11</v>
      </c>
      <c r="J78" s="23">
        <f>'Розшифровка 2 до формування'!J36</f>
        <v>11</v>
      </c>
      <c r="K78" s="23">
        <f>'Розшифровка 2 до формування'!K36</f>
        <v>11</v>
      </c>
      <c r="L78" s="154"/>
    </row>
    <row r="79" spans="1:17" s="147" customFormat="1" ht="24.75" customHeight="1">
      <c r="A79" s="168"/>
      <c r="B79" s="90" t="s">
        <v>438</v>
      </c>
      <c r="C79" s="26"/>
      <c r="D79" s="23">
        <v>11</v>
      </c>
      <c r="E79" s="23"/>
      <c r="F79" s="23"/>
      <c r="G79" s="23">
        <f t="shared" si="12"/>
        <v>0</v>
      </c>
      <c r="H79" s="23"/>
      <c r="I79" s="23"/>
      <c r="J79" s="23"/>
      <c r="K79" s="23"/>
      <c r="L79" s="154"/>
    </row>
    <row r="80" spans="1:17" s="147" customFormat="1" ht="26.25" customHeight="1">
      <c r="A80" s="168"/>
      <c r="B80" s="90" t="s">
        <v>231</v>
      </c>
      <c r="C80" s="26"/>
      <c r="D80" s="23">
        <v>0.7</v>
      </c>
      <c r="E80" s="23"/>
      <c r="F80" s="23"/>
      <c r="G80" s="23">
        <f t="shared" si="12"/>
        <v>0</v>
      </c>
      <c r="H80" s="23"/>
      <c r="I80" s="23"/>
      <c r="J80" s="25"/>
      <c r="K80" s="25"/>
      <c r="L80" s="154"/>
    </row>
    <row r="81" spans="1:12" s="147" customFormat="1" ht="26.25" customHeight="1">
      <c r="A81" s="168"/>
      <c r="B81" s="90" t="s">
        <v>365</v>
      </c>
      <c r="C81" s="26"/>
      <c r="D81" s="23">
        <v>2.5</v>
      </c>
      <c r="E81" s="23">
        <v>7.5</v>
      </c>
      <c r="F81" s="23">
        <v>2.5</v>
      </c>
      <c r="G81" s="23">
        <f t="shared" si="12"/>
        <v>7.5</v>
      </c>
      <c r="H81" s="23"/>
      <c r="I81" s="23">
        <v>2.5</v>
      </c>
      <c r="J81" s="25">
        <v>2.5</v>
      </c>
      <c r="K81" s="25">
        <v>2.5</v>
      </c>
      <c r="L81" s="154"/>
    </row>
    <row r="82" spans="1:12" s="147" customFormat="1" ht="25.5" customHeight="1">
      <c r="A82" s="168"/>
      <c r="B82" s="90" t="s">
        <v>234</v>
      </c>
      <c r="C82" s="26"/>
      <c r="D82" s="23">
        <v>115.9</v>
      </c>
      <c r="E82" s="23">
        <v>174</v>
      </c>
      <c r="F82" s="23">
        <v>139.4</v>
      </c>
      <c r="G82" s="23">
        <f t="shared" si="12"/>
        <v>174</v>
      </c>
      <c r="H82" s="23">
        <f>'Розшифровка 2 до формування'!H40</f>
        <v>43.8</v>
      </c>
      <c r="I82" s="23">
        <f>'Розшифровка 2 до формування'!I40</f>
        <v>43.4</v>
      </c>
      <c r="J82" s="23">
        <f>'Розшифровка 2 до формування'!J40</f>
        <v>43.4</v>
      </c>
      <c r="K82" s="23">
        <f>'Розшифровка 2 до формування'!K40</f>
        <v>43.4</v>
      </c>
      <c r="L82" s="154"/>
    </row>
    <row r="83" spans="1:12" s="147" customFormat="1" ht="37.5">
      <c r="A83" s="168"/>
      <c r="B83" s="90" t="s">
        <v>534</v>
      </c>
      <c r="C83" s="26"/>
      <c r="D83" s="23">
        <v>6.2</v>
      </c>
      <c r="E83" s="23">
        <v>3.6</v>
      </c>
      <c r="F83" s="23">
        <v>0.2</v>
      </c>
      <c r="G83" s="23">
        <f t="shared" si="12"/>
        <v>3.5999999999999996</v>
      </c>
      <c r="H83" s="23"/>
      <c r="I83" s="23">
        <v>1.2</v>
      </c>
      <c r="J83" s="23">
        <v>1.2</v>
      </c>
      <c r="K83" s="23">
        <v>1.2</v>
      </c>
      <c r="L83" s="154"/>
    </row>
    <row r="84" spans="1:12" s="147" customFormat="1" ht="25.5" customHeight="1">
      <c r="A84" s="168"/>
      <c r="B84" s="94" t="s">
        <v>336</v>
      </c>
      <c r="C84" s="26"/>
      <c r="D84" s="23">
        <v>4.2</v>
      </c>
      <c r="E84" s="23">
        <v>18.3</v>
      </c>
      <c r="F84" s="23">
        <v>4.2</v>
      </c>
      <c r="G84" s="23">
        <f t="shared" si="12"/>
        <v>4.8000000000000007</v>
      </c>
      <c r="H84" s="23"/>
      <c r="I84" s="23">
        <f>'Розшифровка 2 до формування'!I29</f>
        <v>1.6</v>
      </c>
      <c r="J84" s="23">
        <f>'Розшифровка 2 до формування'!J29</f>
        <v>1.6</v>
      </c>
      <c r="K84" s="23">
        <f>'Розшифровка 2 до формування'!K29</f>
        <v>1.6</v>
      </c>
      <c r="L84" s="154"/>
    </row>
    <row r="85" spans="1:12" s="147" customFormat="1" ht="25.5" customHeight="1">
      <c r="A85" s="168"/>
      <c r="B85" s="90" t="s">
        <v>535</v>
      </c>
      <c r="C85" s="26"/>
      <c r="D85" s="23">
        <v>15.1</v>
      </c>
      <c r="E85" s="23">
        <v>2.8</v>
      </c>
      <c r="F85" s="23"/>
      <c r="G85" s="23">
        <f t="shared" si="12"/>
        <v>0</v>
      </c>
      <c r="H85" s="23"/>
      <c r="I85" s="23"/>
      <c r="J85" s="23"/>
      <c r="K85" s="23"/>
      <c r="L85" s="154"/>
    </row>
    <row r="86" spans="1:12" s="147" customFormat="1" ht="25.5" customHeight="1">
      <c r="A86" s="168"/>
      <c r="B86" s="94" t="s">
        <v>338</v>
      </c>
      <c r="C86" s="26"/>
      <c r="D86" s="23"/>
      <c r="E86" s="23"/>
      <c r="F86" s="23">
        <v>126.2</v>
      </c>
      <c r="G86" s="23">
        <f t="shared" si="12"/>
        <v>1294.2</v>
      </c>
      <c r="H86" s="23">
        <f>'Розшифровка 2 до формування'!H30</f>
        <v>164.4</v>
      </c>
      <c r="I86" s="23">
        <f>'Розшифровка 2 до формування'!I30</f>
        <v>376.6</v>
      </c>
      <c r="J86" s="23">
        <f>'Розшифровка 2 до формування'!J30</f>
        <v>376.6</v>
      </c>
      <c r="K86" s="23">
        <f>'Розшифровка 2 до формування'!K30</f>
        <v>376.6</v>
      </c>
      <c r="L86" s="154"/>
    </row>
    <row r="87" spans="1:12" s="147" customFormat="1" ht="41.25" customHeight="1">
      <c r="A87" s="168"/>
      <c r="B87" s="91" t="s">
        <v>246</v>
      </c>
      <c r="C87" s="26"/>
      <c r="D87" s="23">
        <v>244.6</v>
      </c>
      <c r="E87" s="23"/>
      <c r="F87" s="23"/>
      <c r="G87" s="23">
        <f t="shared" si="12"/>
        <v>0</v>
      </c>
      <c r="H87" s="23"/>
      <c r="I87" s="23"/>
      <c r="J87" s="23"/>
      <c r="K87" s="23"/>
      <c r="L87" s="154"/>
    </row>
    <row r="88" spans="1:12" s="147" customFormat="1" ht="27.75" customHeight="1">
      <c r="A88" s="168"/>
      <c r="B88" s="68" t="s">
        <v>230</v>
      </c>
      <c r="C88" s="26"/>
      <c r="D88" s="23">
        <v>265.5</v>
      </c>
      <c r="E88" s="23">
        <v>752.5</v>
      </c>
      <c r="F88" s="23">
        <v>299</v>
      </c>
      <c r="G88" s="23">
        <f t="shared" si="12"/>
        <v>898.5</v>
      </c>
      <c r="H88" s="23">
        <f>'Розшифровка 2 до формування'!H31+'Розшифровка 2 до формування'!H75</f>
        <v>304.5</v>
      </c>
      <c r="I88" s="23">
        <f>'Розшифровка 2 до формування'!I31+'Розшифровка 2 до формування'!I75</f>
        <v>198</v>
      </c>
      <c r="J88" s="23">
        <f>'Розшифровка 2 до формування'!J31+'Розшифровка 2 до формування'!J75</f>
        <v>198</v>
      </c>
      <c r="K88" s="23">
        <f>'Розшифровка 2 до формування'!K31+'Розшифровка 2 до формування'!K75</f>
        <v>198</v>
      </c>
      <c r="L88" s="154"/>
    </row>
    <row r="89" spans="1:12" s="147" customFormat="1" ht="24.95" customHeight="1">
      <c r="A89" s="27"/>
      <c r="B89" s="70" t="s">
        <v>277</v>
      </c>
      <c r="C89" s="26"/>
      <c r="D89" s="23">
        <v>0.8</v>
      </c>
      <c r="E89" s="23"/>
      <c r="F89" s="23"/>
      <c r="G89" s="23">
        <f t="shared" si="12"/>
        <v>0</v>
      </c>
      <c r="H89" s="23"/>
      <c r="I89" s="23"/>
      <c r="J89" s="23"/>
      <c r="K89" s="23"/>
      <c r="L89" s="154"/>
    </row>
    <row r="90" spans="1:12" s="147" customFormat="1" ht="80.25" customHeight="1">
      <c r="A90" s="27"/>
      <c r="B90" s="70" t="s">
        <v>441</v>
      </c>
      <c r="C90" s="26"/>
      <c r="D90" s="23">
        <v>1220.5999999999999</v>
      </c>
      <c r="E90" s="23">
        <v>417.6</v>
      </c>
      <c r="F90" s="23"/>
      <c r="G90" s="23">
        <f t="shared" si="12"/>
        <v>0</v>
      </c>
      <c r="H90" s="23"/>
      <c r="I90" s="23"/>
      <c r="J90" s="23"/>
      <c r="K90" s="23"/>
      <c r="L90" s="154"/>
    </row>
    <row r="91" spans="1:12" s="147" customFormat="1" ht="39" customHeight="1">
      <c r="A91" s="168"/>
      <c r="B91" s="68" t="s">
        <v>499</v>
      </c>
      <c r="C91" s="26"/>
      <c r="D91" s="23">
        <v>20.5</v>
      </c>
      <c r="E91" s="23">
        <v>28.5</v>
      </c>
      <c r="F91" s="23">
        <v>9.5</v>
      </c>
      <c r="G91" s="23">
        <f t="shared" si="12"/>
        <v>0</v>
      </c>
      <c r="H91" s="23"/>
      <c r="I91" s="23"/>
      <c r="J91" s="23"/>
      <c r="K91" s="23"/>
      <c r="L91" s="154"/>
    </row>
    <row r="92" spans="1:12" s="147" customFormat="1" ht="25.5" customHeight="1">
      <c r="A92" s="168"/>
      <c r="B92" s="91" t="s">
        <v>362</v>
      </c>
      <c r="C92" s="26"/>
      <c r="D92" s="23">
        <v>59.4</v>
      </c>
      <c r="E92" s="23">
        <v>178.2</v>
      </c>
      <c r="F92" s="23"/>
      <c r="G92" s="23">
        <f t="shared" si="12"/>
        <v>0</v>
      </c>
      <c r="H92" s="23"/>
      <c r="I92" s="23"/>
      <c r="J92" s="23"/>
      <c r="K92" s="23"/>
      <c r="L92" s="154"/>
    </row>
    <row r="93" spans="1:12" s="147" customFormat="1" ht="24" customHeight="1">
      <c r="A93" s="168"/>
      <c r="B93" s="91" t="s">
        <v>398</v>
      </c>
      <c r="C93" s="26"/>
      <c r="D93" s="23"/>
      <c r="E93" s="23"/>
      <c r="F93" s="23">
        <v>6.6</v>
      </c>
      <c r="G93" s="23">
        <f t="shared" si="12"/>
        <v>0</v>
      </c>
      <c r="H93" s="23"/>
      <c r="I93" s="23"/>
      <c r="J93" s="23"/>
      <c r="K93" s="23"/>
      <c r="L93" s="154"/>
    </row>
    <row r="94" spans="1:12" s="147" customFormat="1" ht="29.25" customHeight="1">
      <c r="A94" s="168"/>
      <c r="B94" s="91" t="s">
        <v>255</v>
      </c>
      <c r="C94" s="26"/>
      <c r="D94" s="23">
        <v>1500.8</v>
      </c>
      <c r="E94" s="23">
        <v>1526.2</v>
      </c>
      <c r="F94" s="23">
        <v>3172.5</v>
      </c>
      <c r="G94" s="23">
        <f t="shared" si="12"/>
        <v>4237.3999999999996</v>
      </c>
      <c r="H94" s="23">
        <v>1772.3</v>
      </c>
      <c r="I94" s="23">
        <v>426.7</v>
      </c>
      <c r="J94" s="23">
        <v>339.8</v>
      </c>
      <c r="K94" s="23">
        <v>1698.6</v>
      </c>
      <c r="L94" s="154"/>
    </row>
    <row r="95" spans="1:12" s="147" customFormat="1" ht="27.75" customHeight="1">
      <c r="A95" s="168"/>
      <c r="B95" s="91" t="s">
        <v>253</v>
      </c>
      <c r="C95" s="26"/>
      <c r="D95" s="23">
        <v>120.3</v>
      </c>
      <c r="E95" s="23">
        <v>151.5</v>
      </c>
      <c r="F95" s="23">
        <v>153.4</v>
      </c>
      <c r="G95" s="23">
        <f t="shared" si="12"/>
        <v>165.2</v>
      </c>
      <c r="H95" s="23">
        <v>47.1</v>
      </c>
      <c r="I95" s="23">
        <v>58</v>
      </c>
      <c r="J95" s="23">
        <v>22.6</v>
      </c>
      <c r="K95" s="23">
        <v>37.5</v>
      </c>
      <c r="L95" s="154"/>
    </row>
    <row r="96" spans="1:12" s="147" customFormat="1" ht="24" customHeight="1">
      <c r="A96" s="168"/>
      <c r="B96" s="91" t="s">
        <v>254</v>
      </c>
      <c r="C96" s="26"/>
      <c r="D96" s="23">
        <v>664.8</v>
      </c>
      <c r="E96" s="23">
        <v>853.9</v>
      </c>
      <c r="F96" s="23">
        <v>1005.1</v>
      </c>
      <c r="G96" s="23">
        <f t="shared" si="12"/>
        <v>1252.4000000000001</v>
      </c>
      <c r="H96" s="23">
        <v>322.10000000000002</v>
      </c>
      <c r="I96" s="23">
        <v>316.39999999999998</v>
      </c>
      <c r="J96" s="23">
        <v>298.39999999999998</v>
      </c>
      <c r="K96" s="23">
        <v>315.5</v>
      </c>
      <c r="L96" s="154"/>
    </row>
    <row r="97" spans="1:12" s="147" customFormat="1" ht="24" customHeight="1">
      <c r="A97" s="168"/>
      <c r="B97" s="91" t="s">
        <v>245</v>
      </c>
      <c r="C97" s="26"/>
      <c r="D97" s="23">
        <v>115.7</v>
      </c>
      <c r="E97" s="23">
        <v>113.9</v>
      </c>
      <c r="F97" s="23">
        <v>63.3</v>
      </c>
      <c r="G97" s="23">
        <f t="shared" si="12"/>
        <v>94.300000000000011</v>
      </c>
      <c r="H97" s="23">
        <v>23.1</v>
      </c>
      <c r="I97" s="23">
        <v>23.3</v>
      </c>
      <c r="J97" s="23">
        <v>23.3</v>
      </c>
      <c r="K97" s="23">
        <v>24.6</v>
      </c>
      <c r="L97" s="154"/>
    </row>
    <row r="98" spans="1:12" s="147" customFormat="1" ht="28.5" customHeight="1">
      <c r="A98" s="168"/>
      <c r="B98" s="91" t="s">
        <v>366</v>
      </c>
      <c r="C98" s="26"/>
      <c r="D98" s="23">
        <v>159.19999999999999</v>
      </c>
      <c r="E98" s="23">
        <v>150</v>
      </c>
      <c r="F98" s="23">
        <v>30.7</v>
      </c>
      <c r="G98" s="23">
        <f t="shared" si="12"/>
        <v>11.600000000000001</v>
      </c>
      <c r="H98" s="23">
        <v>2.1</v>
      </c>
      <c r="I98" s="23">
        <v>1.1000000000000001</v>
      </c>
      <c r="J98" s="23">
        <v>0.7</v>
      </c>
      <c r="K98" s="23">
        <v>7.7</v>
      </c>
      <c r="L98" s="154"/>
    </row>
    <row r="99" spans="1:12" s="147" customFormat="1" ht="38.25" customHeight="1">
      <c r="A99" s="168"/>
      <c r="B99" s="91" t="s">
        <v>385</v>
      </c>
      <c r="C99" s="26"/>
      <c r="D99" s="23"/>
      <c r="E99" s="23"/>
      <c r="F99" s="23">
        <v>149.69999999999999</v>
      </c>
      <c r="G99" s="23">
        <f t="shared" si="12"/>
        <v>0</v>
      </c>
      <c r="H99" s="23"/>
      <c r="I99" s="23"/>
      <c r="J99" s="23"/>
      <c r="K99" s="23"/>
      <c r="L99" s="154"/>
    </row>
    <row r="100" spans="1:12" s="147" customFormat="1" ht="23.25" customHeight="1">
      <c r="A100" s="168"/>
      <c r="B100" s="91" t="s">
        <v>386</v>
      </c>
      <c r="C100" s="26"/>
      <c r="D100" s="23"/>
      <c r="E100" s="23">
        <v>300</v>
      </c>
      <c r="F100" s="23">
        <v>222.9</v>
      </c>
      <c r="G100" s="23">
        <f t="shared" si="12"/>
        <v>0</v>
      </c>
      <c r="H100" s="23"/>
      <c r="I100" s="23"/>
      <c r="J100" s="23"/>
      <c r="K100" s="23"/>
      <c r="L100" s="154"/>
    </row>
    <row r="101" spans="1:12" s="147" customFormat="1" ht="26.25" customHeight="1">
      <c r="A101" s="168"/>
      <c r="B101" s="91" t="s">
        <v>360</v>
      </c>
      <c r="C101" s="26"/>
      <c r="D101" s="23">
        <v>10.4</v>
      </c>
      <c r="E101" s="23">
        <v>20.8</v>
      </c>
      <c r="F101" s="23"/>
      <c r="G101" s="23">
        <f t="shared" si="12"/>
        <v>0</v>
      </c>
      <c r="H101" s="23"/>
      <c r="I101" s="23"/>
      <c r="J101" s="23"/>
      <c r="K101" s="23"/>
      <c r="L101" s="154"/>
    </row>
    <row r="102" spans="1:12" s="147" customFormat="1" ht="26.25" hidden="1" customHeight="1">
      <c r="A102" s="266" t="s">
        <v>340</v>
      </c>
      <c r="B102" s="267"/>
      <c r="C102" s="26"/>
      <c r="D102" s="23"/>
      <c r="E102" s="23"/>
      <c r="F102" s="23"/>
      <c r="G102" s="23">
        <f t="shared" si="12"/>
        <v>0</v>
      </c>
      <c r="H102" s="23"/>
      <c r="I102" s="23"/>
      <c r="J102" s="23"/>
      <c r="K102" s="23"/>
      <c r="L102" s="154"/>
    </row>
    <row r="103" spans="1:12" s="147" customFormat="1" ht="35.25" customHeight="1">
      <c r="A103" s="168"/>
      <c r="B103" s="91" t="s">
        <v>374</v>
      </c>
      <c r="C103" s="26"/>
      <c r="D103" s="23"/>
      <c r="E103" s="23">
        <v>223.5</v>
      </c>
      <c r="F103" s="23">
        <v>220.5</v>
      </c>
      <c r="G103" s="23">
        <f t="shared" ref="G103" si="13">H103+I103+J103+K103</f>
        <v>0</v>
      </c>
      <c r="H103" s="23"/>
      <c r="I103" s="23"/>
      <c r="J103" s="23"/>
      <c r="K103" s="23"/>
      <c r="L103" s="154"/>
    </row>
    <row r="104" spans="1:12" s="147" customFormat="1" ht="31.5" customHeight="1">
      <c r="A104" s="168"/>
      <c r="B104" s="91" t="s">
        <v>397</v>
      </c>
      <c r="C104" s="26"/>
      <c r="D104" s="23"/>
      <c r="E104" s="23"/>
      <c r="F104" s="23">
        <v>7.7</v>
      </c>
      <c r="G104" s="23">
        <f>SUM(H104:K104)</f>
        <v>0.2</v>
      </c>
      <c r="H104" s="23"/>
      <c r="I104" s="23">
        <v>0.2</v>
      </c>
      <c r="J104" s="23"/>
      <c r="K104" s="23"/>
      <c r="L104" s="154"/>
    </row>
    <row r="105" spans="1:12" s="147" customFormat="1" ht="24.75" customHeight="1">
      <c r="A105" s="168"/>
      <c r="B105" s="93" t="s">
        <v>237</v>
      </c>
      <c r="C105" s="26"/>
      <c r="D105" s="23">
        <v>56</v>
      </c>
      <c r="E105" s="23"/>
      <c r="F105" s="23"/>
      <c r="G105" s="23">
        <f t="shared" ref="G105:G114" si="14">SUM(H105:K105)</f>
        <v>0</v>
      </c>
      <c r="H105" s="23"/>
      <c r="I105" s="23"/>
      <c r="J105" s="23"/>
      <c r="K105" s="23"/>
      <c r="L105" s="154"/>
    </row>
    <row r="106" spans="1:12" s="147" customFormat="1" ht="28.5" customHeight="1">
      <c r="A106" s="168"/>
      <c r="B106" s="93" t="s">
        <v>238</v>
      </c>
      <c r="C106" s="26"/>
      <c r="D106" s="23"/>
      <c r="E106" s="23"/>
      <c r="F106" s="23"/>
      <c r="G106" s="23">
        <f t="shared" si="14"/>
        <v>28.5</v>
      </c>
      <c r="H106" s="23">
        <f>'Розшифровка 2 до формування'!H44</f>
        <v>9.5</v>
      </c>
      <c r="I106" s="23">
        <f>'Розшифровка 2 до формування'!I44</f>
        <v>9.5</v>
      </c>
      <c r="J106" s="23">
        <f>'Розшифровка 2 до формування'!J44</f>
        <v>0</v>
      </c>
      <c r="K106" s="23">
        <f>'Розшифровка 2 до формування'!K44</f>
        <v>9.5</v>
      </c>
      <c r="L106" s="154"/>
    </row>
    <row r="107" spans="1:12" s="147" customFormat="1" ht="26.25" customHeight="1">
      <c r="A107" s="168"/>
      <c r="B107" s="93" t="s">
        <v>442</v>
      </c>
      <c r="C107" s="26"/>
      <c r="D107" s="23">
        <v>51.8</v>
      </c>
      <c r="E107" s="23"/>
      <c r="F107" s="23">
        <v>365.7</v>
      </c>
      <c r="G107" s="23">
        <f t="shared" si="14"/>
        <v>2.8</v>
      </c>
      <c r="H107" s="23">
        <v>0.7</v>
      </c>
      <c r="I107" s="23">
        <v>0.7</v>
      </c>
      <c r="J107" s="23">
        <v>0.7</v>
      </c>
      <c r="K107" s="23">
        <v>0.7</v>
      </c>
      <c r="L107" s="154"/>
    </row>
    <row r="108" spans="1:12" ht="24.75" customHeight="1">
      <c r="A108" s="5"/>
      <c r="B108" s="94" t="s">
        <v>335</v>
      </c>
      <c r="C108" s="26"/>
      <c r="D108" s="31"/>
      <c r="E108" s="31"/>
      <c r="F108" s="31"/>
      <c r="G108" s="23">
        <f t="shared" si="14"/>
        <v>0</v>
      </c>
      <c r="H108" s="31"/>
      <c r="I108" s="31"/>
      <c r="J108" s="5"/>
      <c r="K108" s="5"/>
    </row>
    <row r="109" spans="1:12" ht="24.75" customHeight="1">
      <c r="A109" s="5"/>
      <c r="B109" s="94" t="s">
        <v>362</v>
      </c>
      <c r="C109" s="26"/>
      <c r="D109" s="170"/>
      <c r="E109" s="32"/>
      <c r="F109" s="23">
        <v>59.4</v>
      </c>
      <c r="G109" s="23">
        <f t="shared" si="14"/>
        <v>98.2</v>
      </c>
      <c r="H109" s="5">
        <v>98.2</v>
      </c>
      <c r="I109" s="5"/>
      <c r="J109" s="5"/>
      <c r="K109" s="5"/>
    </row>
    <row r="110" spans="1:12" ht="27.75" customHeight="1">
      <c r="A110" s="5"/>
      <c r="B110" s="94" t="s">
        <v>282</v>
      </c>
      <c r="C110" s="26"/>
      <c r="D110" s="171">
        <v>20.399999999999999</v>
      </c>
      <c r="E110" s="6"/>
      <c r="F110" s="25"/>
      <c r="G110" s="23">
        <f t="shared" si="14"/>
        <v>0</v>
      </c>
      <c r="H110" s="5"/>
      <c r="I110" s="5"/>
      <c r="J110" s="5"/>
      <c r="K110" s="5"/>
    </row>
    <row r="111" spans="1:12" ht="24.75" customHeight="1">
      <c r="A111" s="5"/>
      <c r="B111" s="94" t="s">
        <v>242</v>
      </c>
      <c r="C111" s="26"/>
      <c r="D111" s="31">
        <v>23.2</v>
      </c>
      <c r="E111" s="32"/>
      <c r="F111" s="23"/>
      <c r="G111" s="23">
        <f t="shared" si="14"/>
        <v>0</v>
      </c>
      <c r="H111" s="31"/>
      <c r="I111" s="31"/>
      <c r="J111" s="5"/>
      <c r="K111" s="5"/>
    </row>
    <row r="112" spans="1:12" ht="24" customHeight="1">
      <c r="A112" s="5"/>
      <c r="B112" s="91" t="s">
        <v>294</v>
      </c>
      <c r="C112" s="26"/>
      <c r="D112" s="31"/>
      <c r="E112" s="32"/>
      <c r="F112" s="23">
        <v>2.4</v>
      </c>
      <c r="G112" s="23">
        <f t="shared" si="14"/>
        <v>0</v>
      </c>
      <c r="H112" s="31"/>
      <c r="I112" s="31"/>
      <c r="J112" s="31"/>
      <c r="K112" s="31"/>
    </row>
    <row r="113" spans="1:11" ht="30" customHeight="1">
      <c r="A113" s="5"/>
      <c r="B113" s="91" t="s">
        <v>349</v>
      </c>
      <c r="C113" s="26"/>
      <c r="D113" s="31">
        <v>72.3</v>
      </c>
      <c r="E113" s="32"/>
      <c r="F113" s="23">
        <v>19.2</v>
      </c>
      <c r="G113" s="23">
        <f t="shared" si="14"/>
        <v>20.8</v>
      </c>
      <c r="H113" s="31"/>
      <c r="I113" s="31">
        <v>10.4</v>
      </c>
      <c r="J113" s="5"/>
      <c r="K113" s="5">
        <v>10.4</v>
      </c>
    </row>
    <row r="114" spans="1:11" ht="27" customHeight="1">
      <c r="A114" s="5"/>
      <c r="B114" s="94" t="s">
        <v>274</v>
      </c>
      <c r="C114" s="33"/>
      <c r="D114" s="31">
        <v>3.8</v>
      </c>
      <c r="E114" s="32"/>
      <c r="F114" s="32"/>
      <c r="G114" s="23">
        <f t="shared" si="14"/>
        <v>0</v>
      </c>
      <c r="H114" s="31"/>
      <c r="I114" s="31"/>
      <c r="J114" s="5"/>
      <c r="K114" s="5"/>
    </row>
    <row r="115" spans="1:11" ht="27" customHeight="1">
      <c r="A115" s="273" t="s">
        <v>187</v>
      </c>
      <c r="B115" s="274"/>
      <c r="C115" s="33"/>
      <c r="D115" s="31"/>
      <c r="E115" s="32"/>
      <c r="F115" s="32"/>
      <c r="G115" s="23"/>
      <c r="H115" s="31"/>
      <c r="I115" s="31"/>
      <c r="J115" s="5"/>
      <c r="K115" s="5"/>
    </row>
    <row r="116" spans="1:11">
      <c r="A116" s="268" t="s">
        <v>187</v>
      </c>
      <c r="B116" s="269"/>
      <c r="C116" s="26">
        <v>1035</v>
      </c>
      <c r="D116" s="22">
        <f>SUM(D117:D117)</f>
        <v>24.5</v>
      </c>
      <c r="E116" s="119">
        <f t="shared" ref="E116:K116" si="15">SUM(E117:E117)</f>
        <v>0</v>
      </c>
      <c r="F116" s="119">
        <f t="shared" si="15"/>
        <v>0</v>
      </c>
      <c r="G116" s="119">
        <f t="shared" si="15"/>
        <v>0</v>
      </c>
      <c r="H116" s="119">
        <f t="shared" si="15"/>
        <v>0</v>
      </c>
      <c r="I116" s="119">
        <f t="shared" si="15"/>
        <v>0</v>
      </c>
      <c r="J116" s="119">
        <f t="shared" si="15"/>
        <v>0</v>
      </c>
      <c r="K116" s="119">
        <f t="shared" si="15"/>
        <v>0</v>
      </c>
    </row>
    <row r="117" spans="1:11" ht="24.75" customHeight="1">
      <c r="B117" s="94" t="s">
        <v>376</v>
      </c>
      <c r="C117" s="33"/>
      <c r="D117" s="23">
        <v>24.5</v>
      </c>
      <c r="E117" s="120">
        <v>0</v>
      </c>
      <c r="F117" s="120">
        <v>0</v>
      </c>
      <c r="G117" s="120">
        <v>0</v>
      </c>
      <c r="H117" s="120">
        <v>0</v>
      </c>
      <c r="I117" s="120">
        <v>0</v>
      </c>
      <c r="J117" s="30">
        <v>0</v>
      </c>
      <c r="K117" s="30">
        <v>0</v>
      </c>
    </row>
    <row r="118" spans="1:11" ht="84" customHeight="1">
      <c r="A118" s="297" t="s">
        <v>433</v>
      </c>
      <c r="B118" s="297"/>
      <c r="C118" s="259" t="s">
        <v>36</v>
      </c>
      <c r="D118" s="260"/>
      <c r="E118" s="260"/>
      <c r="F118" s="260"/>
      <c r="G118" s="36"/>
      <c r="H118" s="36"/>
      <c r="I118" s="296" t="s">
        <v>432</v>
      </c>
      <c r="J118" s="296"/>
      <c r="K118" s="296"/>
    </row>
    <row r="119" spans="1:11" ht="20.25">
      <c r="A119" s="239" t="s">
        <v>27</v>
      </c>
      <c r="B119" s="239"/>
      <c r="C119" s="239" t="s">
        <v>28</v>
      </c>
      <c r="D119" s="239"/>
      <c r="E119" s="239"/>
      <c r="F119" s="239"/>
      <c r="G119" s="227"/>
      <c r="H119" s="227"/>
      <c r="I119" s="239" t="s">
        <v>35</v>
      </c>
      <c r="J119" s="239"/>
      <c r="K119" s="239"/>
    </row>
    <row r="120" spans="1:11">
      <c r="B120" s="37"/>
      <c r="D120" s="39"/>
      <c r="E120" s="40"/>
      <c r="F120" s="40"/>
      <c r="G120" s="40"/>
      <c r="H120" s="40"/>
      <c r="I120" s="40"/>
    </row>
    <row r="121" spans="1:11">
      <c r="B121" s="37"/>
      <c r="D121" s="39"/>
      <c r="E121" s="40"/>
      <c r="F121" s="40"/>
      <c r="G121" s="40"/>
      <c r="H121" s="40"/>
      <c r="I121" s="40"/>
    </row>
    <row r="122" spans="1:11">
      <c r="B122" s="37"/>
      <c r="D122" s="39"/>
      <c r="E122" s="40"/>
      <c r="F122" s="40"/>
      <c r="G122" s="40"/>
      <c r="H122" s="40"/>
      <c r="I122" s="40"/>
    </row>
    <row r="123" spans="1:11">
      <c r="B123" s="37"/>
      <c r="D123" s="39"/>
      <c r="E123" s="40"/>
      <c r="F123" s="40"/>
      <c r="G123" s="40"/>
      <c r="H123" s="40"/>
      <c r="I123" s="40"/>
    </row>
    <row r="124" spans="1:11">
      <c r="B124" s="37"/>
      <c r="D124" s="39"/>
      <c r="E124" s="40"/>
      <c r="F124" s="40"/>
      <c r="G124" s="40"/>
      <c r="H124" s="40"/>
      <c r="I124" s="40"/>
    </row>
    <row r="125" spans="1:11">
      <c r="B125" s="37"/>
      <c r="D125" s="39"/>
      <c r="E125" s="40"/>
      <c r="F125" s="40"/>
      <c r="G125" s="40"/>
      <c r="H125" s="40"/>
      <c r="I125" s="40"/>
    </row>
    <row r="126" spans="1:11">
      <c r="B126" s="37"/>
      <c r="D126" s="39"/>
      <c r="E126" s="40"/>
      <c r="F126" s="40"/>
      <c r="G126" s="40"/>
      <c r="H126" s="40"/>
      <c r="I126" s="40"/>
    </row>
    <row r="127" spans="1:11">
      <c r="B127" s="37"/>
      <c r="D127" s="39"/>
      <c r="E127" s="40"/>
      <c r="F127" s="40"/>
      <c r="G127" s="40"/>
      <c r="H127" s="40"/>
      <c r="I127" s="40"/>
    </row>
    <row r="128" spans="1:11">
      <c r="B128" s="37"/>
      <c r="D128" s="39"/>
      <c r="E128" s="40"/>
      <c r="F128" s="40"/>
      <c r="G128" s="40"/>
      <c r="H128" s="40"/>
      <c r="I128" s="40"/>
    </row>
    <row r="129" spans="2:9">
      <c r="B129" s="37"/>
      <c r="D129" s="39"/>
      <c r="E129" s="40"/>
      <c r="F129" s="40"/>
      <c r="G129" s="40"/>
      <c r="H129" s="40"/>
      <c r="I129" s="40"/>
    </row>
    <row r="130" spans="2:9">
      <c r="B130" s="37"/>
      <c r="D130" s="39"/>
      <c r="E130" s="40"/>
      <c r="F130" s="40"/>
      <c r="G130" s="40"/>
      <c r="H130" s="40"/>
      <c r="I130" s="40"/>
    </row>
    <row r="131" spans="2:9">
      <c r="B131" s="37"/>
      <c r="D131" s="39"/>
      <c r="E131" s="40"/>
      <c r="F131" s="40"/>
      <c r="G131" s="40"/>
      <c r="H131" s="40"/>
      <c r="I131" s="40"/>
    </row>
    <row r="132" spans="2:9">
      <c r="B132" s="37"/>
      <c r="D132" s="39"/>
      <c r="E132" s="40"/>
      <c r="F132" s="40"/>
      <c r="G132" s="40"/>
      <c r="H132" s="40"/>
      <c r="I132" s="40"/>
    </row>
    <row r="133" spans="2:9">
      <c r="B133" s="37"/>
      <c r="D133" s="39"/>
      <c r="E133" s="40"/>
      <c r="F133" s="40"/>
      <c r="G133" s="40"/>
      <c r="H133" s="40"/>
      <c r="I133" s="40"/>
    </row>
    <row r="134" spans="2:9">
      <c r="B134" s="37"/>
      <c r="D134" s="39"/>
      <c r="E134" s="40"/>
      <c r="F134" s="40"/>
      <c r="G134" s="40"/>
      <c r="H134" s="40"/>
      <c r="I134" s="40"/>
    </row>
    <row r="135" spans="2:9">
      <c r="B135" s="37"/>
      <c r="D135" s="39"/>
      <c r="E135" s="40"/>
      <c r="F135" s="40"/>
      <c r="G135" s="40"/>
      <c r="H135" s="40"/>
      <c r="I135" s="40"/>
    </row>
    <row r="136" spans="2:9">
      <c r="B136" s="37"/>
      <c r="D136" s="39"/>
      <c r="E136" s="40"/>
      <c r="F136" s="40"/>
      <c r="G136" s="40"/>
      <c r="H136" s="40"/>
      <c r="I136" s="40"/>
    </row>
    <row r="137" spans="2:9">
      <c r="B137" s="37"/>
      <c r="D137" s="39"/>
      <c r="E137" s="40"/>
      <c r="F137" s="40"/>
      <c r="G137" s="40"/>
      <c r="H137" s="40"/>
      <c r="I137" s="40"/>
    </row>
    <row r="138" spans="2:9">
      <c r="B138" s="37"/>
      <c r="D138" s="39"/>
      <c r="E138" s="40"/>
      <c r="F138" s="40"/>
      <c r="G138" s="40"/>
      <c r="H138" s="40"/>
      <c r="I138" s="40"/>
    </row>
    <row r="139" spans="2:9">
      <c r="B139" s="37"/>
      <c r="D139" s="39"/>
      <c r="E139" s="40"/>
      <c r="F139" s="40"/>
      <c r="G139" s="40"/>
      <c r="H139" s="40"/>
      <c r="I139" s="40"/>
    </row>
    <row r="140" spans="2:9">
      <c r="B140" s="37"/>
      <c r="D140" s="39"/>
      <c r="E140" s="40"/>
      <c r="F140" s="40"/>
      <c r="G140" s="40"/>
      <c r="H140" s="40"/>
      <c r="I140" s="40"/>
    </row>
    <row r="141" spans="2:9">
      <c r="B141" s="37"/>
      <c r="D141" s="39"/>
      <c r="E141" s="40"/>
      <c r="F141" s="40"/>
      <c r="G141" s="40"/>
      <c r="H141" s="40"/>
      <c r="I141" s="40"/>
    </row>
    <row r="142" spans="2:9">
      <c r="B142" s="37"/>
      <c r="D142" s="39"/>
      <c r="E142" s="40"/>
      <c r="F142" s="40"/>
      <c r="G142" s="40"/>
      <c r="H142" s="40"/>
      <c r="I142" s="40"/>
    </row>
    <row r="143" spans="2:9">
      <c r="B143" s="37"/>
      <c r="D143" s="39"/>
      <c r="E143" s="40"/>
      <c r="F143" s="40"/>
      <c r="G143" s="40"/>
      <c r="H143" s="40"/>
      <c r="I143" s="40"/>
    </row>
    <row r="144" spans="2:9">
      <c r="B144" s="37"/>
      <c r="D144" s="39"/>
      <c r="E144" s="40"/>
      <c r="F144" s="40"/>
      <c r="G144" s="40"/>
      <c r="H144" s="40"/>
      <c r="I144" s="40"/>
    </row>
    <row r="145" spans="2:9">
      <c r="B145" s="37"/>
      <c r="D145" s="39"/>
      <c r="E145" s="40"/>
      <c r="F145" s="40"/>
      <c r="G145" s="40"/>
      <c r="H145" s="40"/>
      <c r="I145" s="40"/>
    </row>
    <row r="146" spans="2:9">
      <c r="B146" s="37"/>
      <c r="D146" s="39"/>
      <c r="E146" s="40"/>
      <c r="F146" s="40"/>
      <c r="G146" s="40"/>
      <c r="H146" s="40"/>
      <c r="I146" s="40"/>
    </row>
    <row r="147" spans="2:9">
      <c r="B147" s="37"/>
      <c r="D147" s="39"/>
      <c r="E147" s="40"/>
      <c r="F147" s="40"/>
      <c r="G147" s="40"/>
      <c r="H147" s="40"/>
      <c r="I147" s="40"/>
    </row>
    <row r="148" spans="2:9">
      <c r="B148" s="37"/>
      <c r="D148" s="39"/>
      <c r="E148" s="40"/>
      <c r="F148" s="40"/>
      <c r="G148" s="40"/>
      <c r="H148" s="40"/>
      <c r="I148" s="40"/>
    </row>
    <row r="149" spans="2:9">
      <c r="B149" s="37"/>
      <c r="D149" s="39"/>
      <c r="E149" s="40"/>
      <c r="F149" s="40"/>
      <c r="G149" s="40"/>
      <c r="H149" s="40"/>
      <c r="I149" s="40"/>
    </row>
    <row r="150" spans="2:9">
      <c r="B150" s="37"/>
      <c r="D150" s="39"/>
      <c r="E150" s="40"/>
      <c r="F150" s="40"/>
      <c r="G150" s="40"/>
      <c r="H150" s="40"/>
      <c r="I150" s="40"/>
    </row>
    <row r="151" spans="2:9">
      <c r="B151" s="37"/>
      <c r="D151" s="39"/>
      <c r="E151" s="40"/>
      <c r="F151" s="40"/>
      <c r="G151" s="40"/>
      <c r="H151" s="40"/>
      <c r="I151" s="40"/>
    </row>
    <row r="152" spans="2:9">
      <c r="B152" s="37"/>
      <c r="D152" s="39"/>
      <c r="E152" s="40"/>
      <c r="F152" s="40"/>
      <c r="G152" s="40"/>
      <c r="H152" s="40"/>
      <c r="I152" s="40"/>
    </row>
    <row r="153" spans="2:9">
      <c r="B153" s="37"/>
      <c r="D153" s="39"/>
      <c r="E153" s="40"/>
      <c r="F153" s="40"/>
      <c r="G153" s="40"/>
      <c r="H153" s="40"/>
      <c r="I153" s="40"/>
    </row>
    <row r="154" spans="2:9">
      <c r="B154" s="37"/>
      <c r="D154" s="39"/>
      <c r="E154" s="40"/>
      <c r="F154" s="40"/>
      <c r="G154" s="40"/>
      <c r="H154" s="40"/>
      <c r="I154" s="40"/>
    </row>
    <row r="155" spans="2:9">
      <c r="B155" s="37"/>
      <c r="D155" s="39"/>
      <c r="E155" s="40"/>
      <c r="F155" s="40"/>
      <c r="G155" s="40"/>
      <c r="H155" s="40"/>
      <c r="I155" s="40"/>
    </row>
    <row r="156" spans="2:9">
      <c r="B156" s="37"/>
      <c r="D156" s="39"/>
      <c r="E156" s="40"/>
      <c r="F156" s="40"/>
      <c r="G156" s="40"/>
      <c r="H156" s="40"/>
      <c r="I156" s="40"/>
    </row>
    <row r="157" spans="2:9">
      <c r="B157" s="37"/>
      <c r="D157" s="39"/>
      <c r="E157" s="40"/>
      <c r="F157" s="40"/>
      <c r="G157" s="40"/>
      <c r="H157" s="40"/>
      <c r="I157" s="40"/>
    </row>
    <row r="158" spans="2:9">
      <c r="B158" s="37"/>
      <c r="D158" s="39"/>
      <c r="E158" s="40"/>
      <c r="F158" s="40"/>
      <c r="G158" s="40"/>
      <c r="H158" s="40"/>
      <c r="I158" s="40"/>
    </row>
    <row r="159" spans="2:9">
      <c r="B159" s="37"/>
      <c r="D159" s="39"/>
      <c r="E159" s="40"/>
      <c r="F159" s="40"/>
      <c r="G159" s="40"/>
      <c r="H159" s="40"/>
      <c r="I159" s="40"/>
    </row>
    <row r="160" spans="2:9">
      <c r="B160" s="37"/>
    </row>
    <row r="161" spans="2:2">
      <c r="B161" s="41"/>
    </row>
    <row r="162" spans="2:2">
      <c r="B162" s="41"/>
    </row>
    <row r="163" spans="2:2">
      <c r="B163" s="41"/>
    </row>
    <row r="164" spans="2:2">
      <c r="B164" s="41"/>
    </row>
    <row r="165" spans="2:2">
      <c r="B165" s="41"/>
    </row>
    <row r="166" spans="2:2">
      <c r="B166" s="41"/>
    </row>
    <row r="167" spans="2:2">
      <c r="B167" s="41"/>
    </row>
    <row r="168" spans="2:2">
      <c r="B168" s="41"/>
    </row>
    <row r="169" spans="2:2">
      <c r="B169" s="41"/>
    </row>
    <row r="170" spans="2:2">
      <c r="B170" s="41"/>
    </row>
    <row r="171" spans="2:2">
      <c r="B171" s="41"/>
    </row>
    <row r="172" spans="2:2">
      <c r="B172" s="41"/>
    </row>
    <row r="173" spans="2:2">
      <c r="B173" s="41"/>
    </row>
    <row r="174" spans="2:2">
      <c r="B174" s="41"/>
    </row>
    <row r="175" spans="2:2">
      <c r="B175" s="41"/>
    </row>
    <row r="176" spans="2:2">
      <c r="B176" s="41"/>
    </row>
    <row r="177" spans="2:2">
      <c r="B177" s="41"/>
    </row>
    <row r="178" spans="2:2">
      <c r="B178" s="41"/>
    </row>
    <row r="179" spans="2:2">
      <c r="B179" s="41"/>
    </row>
    <row r="180" spans="2:2">
      <c r="B180" s="41"/>
    </row>
    <row r="181" spans="2:2">
      <c r="B181" s="41"/>
    </row>
    <row r="182" spans="2:2">
      <c r="B182" s="41"/>
    </row>
    <row r="183" spans="2:2">
      <c r="B183" s="41"/>
    </row>
    <row r="184" spans="2:2">
      <c r="B184" s="41"/>
    </row>
    <row r="185" spans="2:2">
      <c r="B185" s="41"/>
    </row>
    <row r="186" spans="2:2">
      <c r="B186" s="41"/>
    </row>
    <row r="187" spans="2:2">
      <c r="B187" s="41"/>
    </row>
    <row r="188" spans="2:2">
      <c r="B188" s="41"/>
    </row>
    <row r="189" spans="2:2">
      <c r="B189" s="41"/>
    </row>
    <row r="190" spans="2:2">
      <c r="B190" s="41"/>
    </row>
    <row r="191" spans="2:2">
      <c r="B191" s="41"/>
    </row>
    <row r="192" spans="2:2">
      <c r="B192" s="41"/>
    </row>
    <row r="193" spans="2:2">
      <c r="B193" s="41"/>
    </row>
    <row r="194" spans="2:2">
      <c r="B194" s="41"/>
    </row>
    <row r="195" spans="2:2">
      <c r="B195" s="41"/>
    </row>
    <row r="196" spans="2:2">
      <c r="B196" s="41"/>
    </row>
    <row r="197" spans="2:2">
      <c r="B197" s="41"/>
    </row>
    <row r="198" spans="2:2">
      <c r="B198" s="41"/>
    </row>
    <row r="199" spans="2:2">
      <c r="B199" s="41"/>
    </row>
    <row r="200" spans="2:2">
      <c r="B200" s="41"/>
    </row>
    <row r="201" spans="2:2">
      <c r="B201" s="41"/>
    </row>
    <row r="202" spans="2:2">
      <c r="B202" s="41"/>
    </row>
    <row r="203" spans="2:2">
      <c r="B203" s="41"/>
    </row>
    <row r="204" spans="2:2">
      <c r="B204" s="41"/>
    </row>
    <row r="205" spans="2:2">
      <c r="B205" s="41"/>
    </row>
    <row r="206" spans="2:2">
      <c r="B206" s="41"/>
    </row>
    <row r="207" spans="2:2">
      <c r="B207" s="41"/>
    </row>
    <row r="208" spans="2:2">
      <c r="B208" s="41"/>
    </row>
    <row r="209" spans="2:2">
      <c r="B209" s="41"/>
    </row>
    <row r="210" spans="2:2">
      <c r="B210" s="41"/>
    </row>
    <row r="211" spans="2:2">
      <c r="B211" s="41"/>
    </row>
    <row r="212" spans="2:2">
      <c r="B212" s="41"/>
    </row>
    <row r="213" spans="2:2">
      <c r="B213" s="41"/>
    </row>
    <row r="214" spans="2:2">
      <c r="B214" s="41"/>
    </row>
    <row r="215" spans="2:2">
      <c r="B215" s="41"/>
    </row>
    <row r="216" spans="2:2">
      <c r="B216" s="41"/>
    </row>
    <row r="217" spans="2:2">
      <c r="B217" s="41"/>
    </row>
    <row r="218" spans="2:2">
      <c r="B218" s="41"/>
    </row>
    <row r="219" spans="2:2">
      <c r="B219" s="41"/>
    </row>
    <row r="220" spans="2:2">
      <c r="B220" s="41"/>
    </row>
    <row r="221" spans="2:2">
      <c r="B221" s="41"/>
    </row>
    <row r="222" spans="2:2">
      <c r="B222" s="41"/>
    </row>
    <row r="223" spans="2:2">
      <c r="B223" s="41"/>
    </row>
    <row r="224" spans="2:2">
      <c r="B224" s="41"/>
    </row>
    <row r="225" spans="2:2">
      <c r="B225" s="41"/>
    </row>
    <row r="226" spans="2:2">
      <c r="B226" s="41"/>
    </row>
    <row r="227" spans="2:2">
      <c r="B227" s="41"/>
    </row>
    <row r="228" spans="2:2">
      <c r="B228" s="41"/>
    </row>
    <row r="229" spans="2:2">
      <c r="B229" s="41"/>
    </row>
    <row r="230" spans="2:2">
      <c r="B230" s="41"/>
    </row>
    <row r="231" spans="2:2">
      <c r="B231" s="41"/>
    </row>
    <row r="232" spans="2:2">
      <c r="B232" s="41"/>
    </row>
    <row r="233" spans="2:2">
      <c r="B233" s="41"/>
    </row>
    <row r="234" spans="2:2">
      <c r="B234" s="41"/>
    </row>
    <row r="235" spans="2:2">
      <c r="B235" s="41"/>
    </row>
    <row r="236" spans="2:2">
      <c r="B236" s="41"/>
    </row>
    <row r="237" spans="2:2">
      <c r="B237" s="41"/>
    </row>
    <row r="238" spans="2:2">
      <c r="B238" s="41"/>
    </row>
    <row r="239" spans="2:2">
      <c r="B239" s="41"/>
    </row>
    <row r="240" spans="2:2">
      <c r="B240" s="41"/>
    </row>
    <row r="241" spans="2:2">
      <c r="B241" s="41"/>
    </row>
    <row r="242" spans="2:2">
      <c r="B242" s="41"/>
    </row>
    <row r="243" spans="2:2">
      <c r="B243" s="41"/>
    </row>
    <row r="244" spans="2:2">
      <c r="B244" s="41"/>
    </row>
    <row r="245" spans="2:2">
      <c r="B245" s="41"/>
    </row>
    <row r="246" spans="2:2">
      <c r="B246" s="41"/>
    </row>
    <row r="247" spans="2:2">
      <c r="B247" s="41"/>
    </row>
    <row r="248" spans="2:2">
      <c r="B248" s="41"/>
    </row>
    <row r="249" spans="2:2">
      <c r="B249" s="41"/>
    </row>
    <row r="250" spans="2:2">
      <c r="B250" s="41"/>
    </row>
    <row r="251" spans="2:2">
      <c r="B251" s="41"/>
    </row>
    <row r="252" spans="2:2">
      <c r="B252" s="41"/>
    </row>
    <row r="253" spans="2:2">
      <c r="B253" s="41"/>
    </row>
    <row r="254" spans="2:2">
      <c r="B254" s="41"/>
    </row>
    <row r="255" spans="2:2">
      <c r="B255" s="41"/>
    </row>
    <row r="256" spans="2:2">
      <c r="B256" s="41"/>
    </row>
    <row r="257" spans="2:2">
      <c r="B257" s="41"/>
    </row>
    <row r="258" spans="2:2">
      <c r="B258" s="41"/>
    </row>
    <row r="259" spans="2:2">
      <c r="B259" s="41"/>
    </row>
    <row r="260" spans="2:2">
      <c r="B260" s="41"/>
    </row>
    <row r="261" spans="2:2">
      <c r="B261" s="41"/>
    </row>
    <row r="262" spans="2:2">
      <c r="B262" s="41"/>
    </row>
    <row r="263" spans="2:2">
      <c r="B263" s="41"/>
    </row>
    <row r="264" spans="2:2">
      <c r="B264" s="41"/>
    </row>
    <row r="265" spans="2:2">
      <c r="B265" s="41"/>
    </row>
    <row r="266" spans="2:2">
      <c r="B266" s="41"/>
    </row>
    <row r="267" spans="2:2">
      <c r="B267" s="41"/>
    </row>
    <row r="268" spans="2:2">
      <c r="B268" s="41"/>
    </row>
    <row r="269" spans="2:2">
      <c r="B269" s="41"/>
    </row>
    <row r="270" spans="2:2">
      <c r="B270" s="41"/>
    </row>
    <row r="271" spans="2:2">
      <c r="B271" s="41"/>
    </row>
    <row r="272" spans="2:2">
      <c r="B272" s="41"/>
    </row>
    <row r="273" spans="2:2">
      <c r="B273" s="41"/>
    </row>
    <row r="274" spans="2:2">
      <c r="B274" s="41"/>
    </row>
    <row r="275" spans="2:2">
      <c r="B275" s="41"/>
    </row>
    <row r="276" spans="2:2">
      <c r="B276" s="41"/>
    </row>
    <row r="277" spans="2:2">
      <c r="B277" s="41"/>
    </row>
    <row r="278" spans="2:2">
      <c r="B278" s="41"/>
    </row>
    <row r="279" spans="2:2">
      <c r="B279" s="41"/>
    </row>
    <row r="280" spans="2:2">
      <c r="B280" s="41"/>
    </row>
    <row r="281" spans="2:2">
      <c r="B281" s="41"/>
    </row>
    <row r="282" spans="2:2">
      <c r="B282" s="41"/>
    </row>
    <row r="283" spans="2:2">
      <c r="B283" s="41"/>
    </row>
    <row r="284" spans="2:2">
      <c r="B284" s="41"/>
    </row>
    <row r="285" spans="2:2">
      <c r="B285" s="41"/>
    </row>
    <row r="286" spans="2:2">
      <c r="B286" s="41"/>
    </row>
    <row r="287" spans="2:2">
      <c r="B287" s="41"/>
    </row>
    <row r="288" spans="2:2">
      <c r="B288" s="41"/>
    </row>
    <row r="289" spans="2:2">
      <c r="B289" s="41"/>
    </row>
    <row r="290" spans="2:2">
      <c r="B290" s="41"/>
    </row>
    <row r="291" spans="2:2">
      <c r="B291" s="41"/>
    </row>
    <row r="292" spans="2:2">
      <c r="B292" s="41"/>
    </row>
    <row r="293" spans="2:2">
      <c r="B293" s="41"/>
    </row>
    <row r="294" spans="2:2">
      <c r="B294" s="41"/>
    </row>
    <row r="295" spans="2:2">
      <c r="B295" s="41"/>
    </row>
    <row r="296" spans="2:2">
      <c r="B296" s="41"/>
    </row>
    <row r="297" spans="2:2">
      <c r="B297" s="41"/>
    </row>
    <row r="298" spans="2:2">
      <c r="B298" s="41"/>
    </row>
    <row r="299" spans="2:2">
      <c r="B299" s="41"/>
    </row>
    <row r="300" spans="2:2">
      <c r="B300" s="41"/>
    </row>
    <row r="301" spans="2:2">
      <c r="B301" s="41"/>
    </row>
    <row r="302" spans="2:2">
      <c r="B302" s="41"/>
    </row>
    <row r="303" spans="2:2">
      <c r="B303" s="41"/>
    </row>
    <row r="304" spans="2:2">
      <c r="B304" s="41"/>
    </row>
    <row r="305" spans="2:2">
      <c r="B305" s="41"/>
    </row>
    <row r="306" spans="2:2">
      <c r="B306" s="41"/>
    </row>
    <row r="307" spans="2:2">
      <c r="B307" s="41"/>
    </row>
    <row r="308" spans="2:2">
      <c r="B308" s="41"/>
    </row>
    <row r="309" spans="2:2">
      <c r="B309" s="41"/>
    </row>
    <row r="310" spans="2:2">
      <c r="B310" s="41"/>
    </row>
    <row r="311" spans="2:2">
      <c r="B311" s="41"/>
    </row>
    <row r="312" spans="2:2">
      <c r="B312" s="41"/>
    </row>
    <row r="313" spans="2:2">
      <c r="B313" s="41"/>
    </row>
    <row r="314" spans="2:2">
      <c r="B314" s="41"/>
    </row>
    <row r="315" spans="2:2">
      <c r="B315" s="41"/>
    </row>
    <row r="316" spans="2:2">
      <c r="B316" s="41"/>
    </row>
    <row r="317" spans="2:2">
      <c r="B317" s="41"/>
    </row>
    <row r="318" spans="2:2">
      <c r="B318" s="41"/>
    </row>
    <row r="319" spans="2:2">
      <c r="B319" s="41"/>
    </row>
    <row r="320" spans="2:2">
      <c r="B320" s="41"/>
    </row>
    <row r="321" spans="2:2">
      <c r="B321" s="41"/>
    </row>
    <row r="322" spans="2:2">
      <c r="B322" s="41"/>
    </row>
    <row r="323" spans="2:2">
      <c r="B323" s="41"/>
    </row>
    <row r="324" spans="2:2">
      <c r="B324" s="41"/>
    </row>
    <row r="325" spans="2:2">
      <c r="B325" s="41"/>
    </row>
    <row r="326" spans="2:2">
      <c r="B326" s="41"/>
    </row>
    <row r="327" spans="2:2">
      <c r="B327" s="41"/>
    </row>
  </sheetData>
  <mergeCells count="34">
    <mergeCell ref="A115:B115"/>
    <mergeCell ref="A116:B116"/>
    <mergeCell ref="C118:F118"/>
    <mergeCell ref="I118:K118"/>
    <mergeCell ref="C119:F119"/>
    <mergeCell ref="I119:K119"/>
    <mergeCell ref="A118:B118"/>
    <mergeCell ref="A119:B119"/>
    <mergeCell ref="B2:I2"/>
    <mergeCell ref="F4:F5"/>
    <mergeCell ref="G4:G5"/>
    <mergeCell ref="A4:A5"/>
    <mergeCell ref="E4:E5"/>
    <mergeCell ref="H4:K4"/>
    <mergeCell ref="D4:D5"/>
    <mergeCell ref="B4:B5"/>
    <mergeCell ref="C4:C5"/>
    <mergeCell ref="A25:B25"/>
    <mergeCell ref="A29:B29"/>
    <mergeCell ref="A27:B27"/>
    <mergeCell ref="A28:B28"/>
    <mergeCell ref="A37:B37"/>
    <mergeCell ref="A23:B23"/>
    <mergeCell ref="A21:B21"/>
    <mergeCell ref="A7:B7"/>
    <mergeCell ref="A8:B8"/>
    <mergeCell ref="A11:B11"/>
    <mergeCell ref="A20:B20"/>
    <mergeCell ref="A102:B102"/>
    <mergeCell ref="A71:B71"/>
    <mergeCell ref="A46:B46"/>
    <mergeCell ref="A47:B47"/>
    <mergeCell ref="A49:B49"/>
    <mergeCell ref="A48:B48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62" fitToHeight="5" orientation="landscape" r:id="rId1"/>
  <rowBreaks count="1" manualBreakCount="1">
    <brk id="2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V447"/>
  <sheetViews>
    <sheetView view="pageBreakPreview" topLeftCell="A35" zoomScale="50" zoomScaleNormal="51" zoomScaleSheetLayoutView="50" workbookViewId="0">
      <selection activeCell="H221" sqref="H221:J221"/>
    </sheetView>
  </sheetViews>
  <sheetFormatPr defaultRowHeight="18.75"/>
  <cols>
    <col min="1" max="1" width="9.140625" style="1"/>
    <col min="2" max="2" width="106.140625" style="1" customWidth="1"/>
    <col min="3" max="3" width="12" style="38" customWidth="1"/>
    <col min="4" max="4" width="16.140625" style="38" customWidth="1"/>
    <col min="5" max="5" width="17.7109375" style="38" customWidth="1"/>
    <col min="6" max="6" width="18.42578125" style="38" customWidth="1"/>
    <col min="7" max="7" width="19.28515625" style="38" customWidth="1"/>
    <col min="8" max="8" width="16.28515625" style="1" customWidth="1"/>
    <col min="9" max="9" width="16.85546875" style="1" customWidth="1"/>
    <col min="10" max="10" width="16.140625" style="1" customWidth="1"/>
    <col min="11" max="11" width="16.42578125" style="1" customWidth="1"/>
    <col min="12" max="12" width="24.140625" style="1" bestFit="1" customWidth="1"/>
    <col min="13" max="13" width="16.28515625" style="153" customWidth="1"/>
    <col min="14" max="14" width="18" style="66" customWidth="1"/>
    <col min="15" max="16" width="15.85546875" style="66" bestFit="1" customWidth="1"/>
    <col min="17" max="17" width="17.5703125" style="66" bestFit="1" customWidth="1"/>
    <col min="18" max="21" width="15.85546875" style="66" bestFit="1" customWidth="1"/>
    <col min="22" max="16384" width="9.140625" style="1"/>
  </cols>
  <sheetData>
    <row r="2" spans="1:22" ht="22.5" customHeight="1">
      <c r="B2" s="263" t="s">
        <v>218</v>
      </c>
      <c r="C2" s="263"/>
      <c r="D2" s="263"/>
      <c r="E2" s="263"/>
      <c r="F2" s="263"/>
      <c r="G2" s="263"/>
      <c r="H2" s="263"/>
      <c r="I2" s="263"/>
      <c r="J2" s="263"/>
      <c r="K2" s="263"/>
    </row>
    <row r="3" spans="1:22">
      <c r="B3" s="2"/>
      <c r="C3" s="3"/>
      <c r="D3" s="2"/>
      <c r="E3" s="2"/>
      <c r="F3" s="2"/>
      <c r="G3" s="3"/>
      <c r="H3" s="2"/>
      <c r="I3" s="2"/>
      <c r="K3" s="1" t="s">
        <v>148</v>
      </c>
    </row>
    <row r="4" spans="1:22" ht="41.25" customHeight="1">
      <c r="A4" s="294" t="s">
        <v>171</v>
      </c>
      <c r="B4" s="294" t="s">
        <v>64</v>
      </c>
      <c r="C4" s="287" t="s">
        <v>13</v>
      </c>
      <c r="D4" s="287" t="s">
        <v>381</v>
      </c>
      <c r="E4" s="287" t="s">
        <v>382</v>
      </c>
      <c r="F4" s="287" t="s">
        <v>379</v>
      </c>
      <c r="G4" s="289" t="s">
        <v>383</v>
      </c>
      <c r="H4" s="291" t="s">
        <v>123</v>
      </c>
      <c r="I4" s="292"/>
      <c r="J4" s="292"/>
      <c r="K4" s="293"/>
    </row>
    <row r="5" spans="1:22" ht="54" customHeight="1">
      <c r="A5" s="295"/>
      <c r="B5" s="295"/>
      <c r="C5" s="288"/>
      <c r="D5" s="288"/>
      <c r="E5" s="288"/>
      <c r="F5" s="288"/>
      <c r="G5" s="290"/>
      <c r="H5" s="4" t="s">
        <v>50</v>
      </c>
      <c r="I5" s="4" t="s">
        <v>51</v>
      </c>
      <c r="J5" s="4" t="s">
        <v>52</v>
      </c>
      <c r="K5" s="4" t="s">
        <v>23</v>
      </c>
      <c r="L5" s="150"/>
    </row>
    <row r="6" spans="1:22" ht="30.75" customHeight="1">
      <c r="A6" s="6">
        <v>1</v>
      </c>
      <c r="B6" s="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6">
        <v>10</v>
      </c>
      <c r="K6" s="6">
        <v>11</v>
      </c>
    </row>
    <row r="7" spans="1:22" ht="30.75" customHeight="1">
      <c r="A7" s="298" t="s">
        <v>178</v>
      </c>
      <c r="B7" s="299"/>
      <c r="C7" s="86"/>
      <c r="D7" s="87">
        <f>D8+D50+D83+D111+D116+D136+D155+D185+D195+D211+D216</f>
        <v>56717.100000000006</v>
      </c>
      <c r="E7" s="87">
        <f>E8+E50+E83+E111+E116+E136+E155+E185+E195+E211+E216</f>
        <v>80700.599999999991</v>
      </c>
      <c r="F7" s="87">
        <f>F8+F50+F83+F111+F116+F136+F155+F185+F195+F211+F216</f>
        <v>87746</v>
      </c>
      <c r="G7" s="87">
        <f>G8+G50++G83+G116+G136+G155+G185+G195+G211+G216</f>
        <v>103241.9</v>
      </c>
      <c r="H7" s="87">
        <f>H8+H50+H83+H111+H116+H136+H155+H185+H195+H211+H216</f>
        <v>28380.799999999996</v>
      </c>
      <c r="I7" s="87">
        <f>I8+I50+I83+I111+I116+I136+I155+I185+I195+I211+I216</f>
        <v>26267.399999999998</v>
      </c>
      <c r="J7" s="87">
        <f>J8+J50+J83+J111+J116+J136+J155+J185+J195+J211+J216</f>
        <v>22739.8</v>
      </c>
      <c r="K7" s="87">
        <f>K8+K50+K83+K111+K116+K136+K155+K185+K195+K211+K216</f>
        <v>25853.899999999998</v>
      </c>
      <c r="L7" s="154"/>
    </row>
    <row r="8" spans="1:22" ht="44.25" customHeight="1">
      <c r="A8" s="155" t="s">
        <v>179</v>
      </c>
      <c r="B8" s="156" t="s">
        <v>217</v>
      </c>
      <c r="C8" s="155"/>
      <c r="D8" s="9">
        <f>D11+D19+D47</f>
        <v>26659.800000000003</v>
      </c>
      <c r="E8" s="9">
        <f>E11+E19+E47</f>
        <v>61763.799999999996</v>
      </c>
      <c r="F8" s="9">
        <f>F11+F19+F47</f>
        <v>57434.6</v>
      </c>
      <c r="G8" s="9">
        <f>SUM(H8:K8)</f>
        <v>86051.099999999991</v>
      </c>
      <c r="H8" s="9">
        <f>H11+H19+H47</f>
        <v>22093.5</v>
      </c>
      <c r="I8" s="9">
        <f>I11+I19+I47</f>
        <v>22023.1</v>
      </c>
      <c r="J8" s="9">
        <f>J11+J19+J47</f>
        <v>19928.199999999997</v>
      </c>
      <c r="K8" s="9">
        <f>K11+K19+K47</f>
        <v>22006.3</v>
      </c>
      <c r="L8" s="154"/>
      <c r="N8" s="150">
        <f>N10+'Фінансовий план КНП'!C86</f>
        <v>0</v>
      </c>
      <c r="O8" s="150">
        <f>O10+'Фінансовий план КНП'!D86</f>
        <v>0</v>
      </c>
      <c r="P8" s="150">
        <f>P10+'Фінансовий план КНП'!E86</f>
        <v>0</v>
      </c>
      <c r="Q8" s="150">
        <f>Q10+'Фінансовий план КНП'!F86</f>
        <v>0</v>
      </c>
      <c r="R8" s="150">
        <f>R10+'Фінансовий план КНП'!G86</f>
        <v>0</v>
      </c>
      <c r="S8" s="150">
        <f>S10+'Фінансовий план КНП'!H86</f>
        <v>0</v>
      </c>
      <c r="T8" s="150">
        <f>T10+'Фінансовий план КНП'!I86</f>
        <v>0</v>
      </c>
      <c r="U8" s="150">
        <f>U10+'Фінансовий план КНП'!J86</f>
        <v>0</v>
      </c>
    </row>
    <row r="9" spans="1:22" ht="28.5" hidden="1" customHeight="1">
      <c r="A9" s="229"/>
      <c r="B9" s="47" t="s">
        <v>354</v>
      </c>
      <c r="C9" s="229"/>
      <c r="D9" s="9"/>
      <c r="E9" s="9"/>
      <c r="F9" s="9">
        <v>0</v>
      </c>
      <c r="G9" s="9"/>
      <c r="H9" s="9"/>
      <c r="I9" s="9"/>
      <c r="J9" s="9"/>
      <c r="K9" s="9"/>
      <c r="L9" s="154"/>
      <c r="N9" s="150"/>
      <c r="O9" s="150"/>
      <c r="P9" s="150"/>
      <c r="Q9" s="150"/>
      <c r="R9" s="150"/>
      <c r="S9" s="150"/>
      <c r="T9" s="150"/>
      <c r="U9" s="150"/>
    </row>
    <row r="10" spans="1:22" ht="27.75" customHeight="1">
      <c r="A10" s="48"/>
      <c r="B10" s="12" t="s">
        <v>180</v>
      </c>
      <c r="C10" s="45"/>
      <c r="D10" s="9"/>
      <c r="E10" s="9"/>
      <c r="F10" s="11"/>
      <c r="G10" s="11"/>
      <c r="H10" s="11"/>
      <c r="I10" s="11"/>
      <c r="J10" s="11"/>
      <c r="K10" s="11"/>
      <c r="L10" s="154"/>
      <c r="N10" s="220">
        <f>N11+N18+N25</f>
        <v>56717.100000000006</v>
      </c>
      <c r="O10" s="220">
        <f t="shared" ref="O10:U10" si="0">O11+O18+O25</f>
        <v>80700.600000000006</v>
      </c>
      <c r="P10" s="220">
        <f t="shared" si="0"/>
        <v>87746</v>
      </c>
      <c r="Q10" s="220">
        <f t="shared" si="0"/>
        <v>103241.9</v>
      </c>
      <c r="R10" s="220">
        <f t="shared" si="0"/>
        <v>28380.799999999999</v>
      </c>
      <c r="S10" s="220">
        <f t="shared" si="0"/>
        <v>26267.399999999998</v>
      </c>
      <c r="T10" s="220">
        <f t="shared" si="0"/>
        <v>22739.800000000003</v>
      </c>
      <c r="U10" s="220">
        <f t="shared" si="0"/>
        <v>25853.9</v>
      </c>
    </row>
    <row r="11" spans="1:22" ht="24.75" customHeight="1">
      <c r="A11" s="55" t="s">
        <v>181</v>
      </c>
      <c r="B11" s="35" t="s">
        <v>184</v>
      </c>
      <c r="C11" s="229">
        <v>1010</v>
      </c>
      <c r="D11" s="22">
        <f t="shared" ref="D11:K11" si="1">D12+D17+D18</f>
        <v>20626.2</v>
      </c>
      <c r="E11" s="22">
        <f t="shared" si="1"/>
        <v>50857.599999999999</v>
      </c>
      <c r="F11" s="22">
        <f t="shared" si="1"/>
        <v>49406.8</v>
      </c>
      <c r="G11" s="22">
        <f t="shared" si="1"/>
        <v>75190.799999999988</v>
      </c>
      <c r="H11" s="22">
        <f t="shared" si="1"/>
        <v>19029.3</v>
      </c>
      <c r="I11" s="22">
        <f t="shared" si="1"/>
        <v>19720.099999999999</v>
      </c>
      <c r="J11" s="22">
        <f t="shared" si="1"/>
        <v>17593.099999999999</v>
      </c>
      <c r="K11" s="22">
        <f t="shared" si="1"/>
        <v>18848.3</v>
      </c>
      <c r="L11" s="154"/>
      <c r="M11" s="158">
        <v>1010</v>
      </c>
      <c r="N11" s="220">
        <f t="shared" ref="N11:U16" si="2">SUMIF($C$7:$C$218,$M11,D$7:D$218)</f>
        <v>42714.900000000009</v>
      </c>
      <c r="O11" s="220">
        <f t="shared" si="2"/>
        <v>64507.1</v>
      </c>
      <c r="P11" s="220">
        <f t="shared" si="2"/>
        <v>70320.100000000006</v>
      </c>
      <c r="Q11" s="220">
        <f t="shared" si="2"/>
        <v>83540.499999999985</v>
      </c>
      <c r="R11" s="220">
        <f t="shared" si="2"/>
        <v>22185.899999999998</v>
      </c>
      <c r="S11" s="220">
        <f t="shared" si="2"/>
        <v>22439.699999999997</v>
      </c>
      <c r="T11" s="220">
        <f t="shared" si="2"/>
        <v>19016.900000000001</v>
      </c>
      <c r="U11" s="220">
        <f t="shared" si="2"/>
        <v>19898</v>
      </c>
      <c r="V11" s="66"/>
    </row>
    <row r="12" spans="1:22" ht="30" customHeight="1">
      <c r="A12" s="59" t="s">
        <v>264</v>
      </c>
      <c r="B12" s="52" t="s">
        <v>394</v>
      </c>
      <c r="C12" s="51">
        <v>1011</v>
      </c>
      <c r="D12" s="54">
        <f>SUM(D13:D16)</f>
        <v>3370.4</v>
      </c>
      <c r="E12" s="54">
        <f>SUM(E13:E16)</f>
        <v>11814.5</v>
      </c>
      <c r="F12" s="54">
        <f>SUM(F13:F16)</f>
        <v>15697.400000000001</v>
      </c>
      <c r="G12" s="54">
        <f>H12+I12+J12+K12</f>
        <v>24392.2</v>
      </c>
      <c r="H12" s="54">
        <f>SUM(H13:H16)</f>
        <v>8531</v>
      </c>
      <c r="I12" s="54">
        <f>SUM(I13:I16)</f>
        <v>6259.5</v>
      </c>
      <c r="J12" s="54">
        <f>SUM(J13:J16)</f>
        <v>4187.7999999999993</v>
      </c>
      <c r="K12" s="54">
        <f>SUM(K13:K16)</f>
        <v>5413.9000000000005</v>
      </c>
      <c r="L12" s="154"/>
      <c r="M12" s="158">
        <v>1011</v>
      </c>
      <c r="N12" s="150">
        <f t="shared" si="2"/>
        <v>17242.2</v>
      </c>
      <c r="O12" s="150">
        <f t="shared" si="2"/>
        <v>20051</v>
      </c>
      <c r="P12" s="150">
        <f t="shared" si="2"/>
        <v>29049.200000000001</v>
      </c>
      <c r="Q12" s="150">
        <f t="shared" si="2"/>
        <v>28740</v>
      </c>
      <c r="R12" s="150">
        <f t="shared" si="2"/>
        <v>9735</v>
      </c>
      <c r="S12" s="150">
        <f t="shared" si="2"/>
        <v>7416.9</v>
      </c>
      <c r="T12" s="150">
        <f t="shared" si="2"/>
        <v>5345.2999999999993</v>
      </c>
      <c r="U12" s="150">
        <f t="shared" si="2"/>
        <v>6242.8</v>
      </c>
    </row>
    <row r="13" spans="1:22" ht="28.5" customHeight="1">
      <c r="A13" s="53"/>
      <c r="B13" s="34" t="s">
        <v>489</v>
      </c>
      <c r="C13" s="45"/>
      <c r="D13" s="23">
        <v>952.3</v>
      </c>
      <c r="E13" s="23">
        <v>2225.8000000000002</v>
      </c>
      <c r="F13" s="23">
        <v>4692.6000000000004</v>
      </c>
      <c r="G13" s="23">
        <f t="shared" ref="G13:G49" si="3">H13+I13+J13+K13</f>
        <v>4794.3</v>
      </c>
      <c r="H13" s="23">
        <v>3725.8</v>
      </c>
      <c r="I13" s="23">
        <v>572</v>
      </c>
      <c r="J13" s="23">
        <v>437.1</v>
      </c>
      <c r="K13" s="23">
        <v>59.4</v>
      </c>
      <c r="L13" s="154"/>
      <c r="M13" s="158">
        <v>1012</v>
      </c>
      <c r="N13" s="150">
        <f t="shared" si="2"/>
        <v>20932.5</v>
      </c>
      <c r="O13" s="150">
        <f t="shared" si="2"/>
        <v>37053.800000000003</v>
      </c>
      <c r="P13" s="150">
        <f t="shared" si="2"/>
        <v>33959.899999999994</v>
      </c>
      <c r="Q13" s="150">
        <f t="shared" si="2"/>
        <v>45294.2</v>
      </c>
      <c r="R13" s="150">
        <f t="shared" si="2"/>
        <v>10290.5</v>
      </c>
      <c r="S13" s="150">
        <f t="shared" si="2"/>
        <v>12406.199999999999</v>
      </c>
      <c r="T13" s="150">
        <f t="shared" si="2"/>
        <v>11296.699999999999</v>
      </c>
      <c r="U13" s="150">
        <f t="shared" si="2"/>
        <v>11300.8</v>
      </c>
    </row>
    <row r="14" spans="1:22" ht="39.75" customHeight="1">
      <c r="A14" s="53"/>
      <c r="B14" s="61" t="s">
        <v>395</v>
      </c>
      <c r="C14" s="45"/>
      <c r="D14" s="23">
        <v>2183.9</v>
      </c>
      <c r="E14" s="23">
        <v>8985.2000000000007</v>
      </c>
      <c r="F14" s="23">
        <v>10493</v>
      </c>
      <c r="G14" s="23">
        <f t="shared" si="3"/>
        <v>18994.400000000001</v>
      </c>
      <c r="H14" s="23">
        <v>4685.8999999999996</v>
      </c>
      <c r="I14" s="23">
        <v>5536.7</v>
      </c>
      <c r="J14" s="23">
        <v>3536.7</v>
      </c>
      <c r="K14" s="23">
        <v>5235.1000000000004</v>
      </c>
      <c r="L14" s="154"/>
      <c r="M14" s="158">
        <v>1013</v>
      </c>
      <c r="N14" s="150">
        <f t="shared" si="2"/>
        <v>4417.2</v>
      </c>
      <c r="O14" s="150">
        <f t="shared" si="2"/>
        <v>7278.1</v>
      </c>
      <c r="P14" s="150">
        <f t="shared" si="2"/>
        <v>7306.9</v>
      </c>
      <c r="Q14" s="150">
        <f t="shared" si="2"/>
        <v>9477.3000000000011</v>
      </c>
      <c r="R14" s="150">
        <f t="shared" si="2"/>
        <v>2160.4</v>
      </c>
      <c r="S14" s="150">
        <f t="shared" si="2"/>
        <v>2602.1</v>
      </c>
      <c r="T14" s="150">
        <f t="shared" si="2"/>
        <v>2360.4</v>
      </c>
      <c r="U14" s="150">
        <f t="shared" si="2"/>
        <v>2354.4</v>
      </c>
    </row>
    <row r="15" spans="1:22" ht="28.5" customHeight="1">
      <c r="A15" s="53"/>
      <c r="B15" s="34" t="s">
        <v>248</v>
      </c>
      <c r="C15" s="45"/>
      <c r="D15" s="23">
        <v>126.9</v>
      </c>
      <c r="E15" s="23">
        <v>126.9</v>
      </c>
      <c r="F15" s="23">
        <v>233.1</v>
      </c>
      <c r="G15" s="23">
        <f t="shared" si="3"/>
        <v>126.89999999999999</v>
      </c>
      <c r="H15" s="23"/>
      <c r="I15" s="23">
        <v>20.8</v>
      </c>
      <c r="J15" s="23">
        <v>94</v>
      </c>
      <c r="K15" s="23">
        <v>12.1</v>
      </c>
      <c r="L15" s="154"/>
      <c r="M15" s="158">
        <v>1014</v>
      </c>
      <c r="N15" s="150">
        <f t="shared" si="2"/>
        <v>0</v>
      </c>
      <c r="O15" s="150">
        <f t="shared" si="2"/>
        <v>0</v>
      </c>
      <c r="P15" s="150">
        <f t="shared" si="2"/>
        <v>0</v>
      </c>
      <c r="Q15" s="150">
        <f t="shared" si="2"/>
        <v>0</v>
      </c>
      <c r="R15" s="150">
        <f t="shared" si="2"/>
        <v>0</v>
      </c>
      <c r="S15" s="150">
        <f t="shared" si="2"/>
        <v>0</v>
      </c>
      <c r="T15" s="150">
        <f t="shared" si="2"/>
        <v>0</v>
      </c>
      <c r="U15" s="150">
        <f t="shared" si="2"/>
        <v>0</v>
      </c>
    </row>
    <row r="16" spans="1:22" ht="42" customHeight="1">
      <c r="A16" s="53"/>
      <c r="B16" s="61" t="s">
        <v>390</v>
      </c>
      <c r="C16" s="45"/>
      <c r="D16" s="23">
        <v>107.3</v>
      </c>
      <c r="E16" s="23">
        <v>476.6</v>
      </c>
      <c r="F16" s="23">
        <v>278.7</v>
      </c>
      <c r="G16" s="23">
        <f t="shared" si="3"/>
        <v>476.6</v>
      </c>
      <c r="H16" s="23">
        <v>119.3</v>
      </c>
      <c r="I16" s="23">
        <v>130</v>
      </c>
      <c r="J16" s="23">
        <v>120</v>
      </c>
      <c r="K16" s="23">
        <v>107.3</v>
      </c>
      <c r="L16" s="154"/>
      <c r="M16" s="158">
        <v>1015</v>
      </c>
      <c r="N16" s="150">
        <f t="shared" si="2"/>
        <v>123.00000000000001</v>
      </c>
      <c r="O16" s="150">
        <f t="shared" si="2"/>
        <v>124.2</v>
      </c>
      <c r="P16" s="150">
        <f t="shared" si="2"/>
        <v>4.1000000000000005</v>
      </c>
      <c r="Q16" s="150">
        <f t="shared" si="2"/>
        <v>29</v>
      </c>
      <c r="R16" s="150">
        <f t="shared" si="2"/>
        <v>0</v>
      </c>
      <c r="S16" s="150">
        <f t="shared" si="2"/>
        <v>14.5</v>
      </c>
      <c r="T16" s="150">
        <f t="shared" si="2"/>
        <v>14.5</v>
      </c>
      <c r="U16" s="150">
        <f t="shared" si="2"/>
        <v>0</v>
      </c>
    </row>
    <row r="17" spans="1:21" ht="24.75" customHeight="1">
      <c r="A17" s="59" t="s">
        <v>265</v>
      </c>
      <c r="B17" s="52" t="s">
        <v>1</v>
      </c>
      <c r="C17" s="51">
        <v>1012</v>
      </c>
      <c r="D17" s="54">
        <v>14249.1</v>
      </c>
      <c r="E17" s="54">
        <v>32692.7</v>
      </c>
      <c r="F17" s="54">
        <f>18669.5+9032.2</f>
        <v>27701.7</v>
      </c>
      <c r="G17" s="54">
        <f t="shared" si="3"/>
        <v>42013.7</v>
      </c>
      <c r="H17" s="54">
        <v>8671</v>
      </c>
      <c r="I17" s="54">
        <v>11130</v>
      </c>
      <c r="J17" s="54">
        <v>11091.8</v>
      </c>
      <c r="K17" s="54">
        <v>11120.9</v>
      </c>
      <c r="L17" s="154"/>
      <c r="M17" s="158"/>
      <c r="N17" s="150"/>
      <c r="O17" s="150"/>
      <c r="P17" s="150"/>
      <c r="Q17" s="150"/>
      <c r="R17" s="150"/>
      <c r="S17" s="150"/>
      <c r="T17" s="150"/>
      <c r="U17" s="150"/>
    </row>
    <row r="18" spans="1:21" ht="27.75" customHeight="1">
      <c r="A18" s="59" t="s">
        <v>279</v>
      </c>
      <c r="B18" s="52" t="s">
        <v>2</v>
      </c>
      <c r="C18" s="51">
        <v>1013</v>
      </c>
      <c r="D18" s="54">
        <v>3006.7</v>
      </c>
      <c r="E18" s="54">
        <v>6350.4</v>
      </c>
      <c r="F18" s="54">
        <f>4117.9+1889.8</f>
        <v>6007.7</v>
      </c>
      <c r="G18" s="54">
        <f t="shared" si="3"/>
        <v>8784.9</v>
      </c>
      <c r="H18" s="54">
        <v>1827.3</v>
      </c>
      <c r="I18" s="54">
        <v>2330.6</v>
      </c>
      <c r="J18" s="54">
        <v>2313.5</v>
      </c>
      <c r="K18" s="54">
        <v>2313.5</v>
      </c>
      <c r="L18" s="154"/>
      <c r="M18" s="159">
        <v>1020</v>
      </c>
      <c r="N18" s="220">
        <f t="shared" ref="N18:U23" si="4">SUMIF($C$7:$C$218,$M18,D$7:D$218)</f>
        <v>13509.000000000002</v>
      </c>
      <c r="O18" s="220">
        <f t="shared" si="4"/>
        <v>15470.900000000001</v>
      </c>
      <c r="P18" s="220">
        <f t="shared" si="4"/>
        <v>16983.7</v>
      </c>
      <c r="Q18" s="220">
        <f t="shared" si="4"/>
        <v>18978.800000000003</v>
      </c>
      <c r="R18" s="220">
        <f t="shared" si="4"/>
        <v>6041.7000000000007</v>
      </c>
      <c r="S18" s="220">
        <f t="shared" si="4"/>
        <v>3674.5</v>
      </c>
      <c r="T18" s="220">
        <f t="shared" si="4"/>
        <v>3459.9</v>
      </c>
      <c r="U18" s="220">
        <f t="shared" si="4"/>
        <v>5802.7</v>
      </c>
    </row>
    <row r="19" spans="1:21" ht="25.5" customHeight="1">
      <c r="A19" s="55" t="s">
        <v>182</v>
      </c>
      <c r="B19" s="46" t="s">
        <v>186</v>
      </c>
      <c r="C19" s="229">
        <v>1020</v>
      </c>
      <c r="D19" s="22">
        <f>D20+D25+D26+D27</f>
        <v>5591.4000000000005</v>
      </c>
      <c r="E19" s="22">
        <f>E20+E25+E26+E27</f>
        <v>10183.6</v>
      </c>
      <c r="F19" s="22">
        <f>F20+F25+F26+F27</f>
        <v>7585.5999999999995</v>
      </c>
      <c r="G19" s="22">
        <f>H19+I19+J19+K19</f>
        <v>10137.700000000001</v>
      </c>
      <c r="H19" s="22">
        <f>H20+H25+H26+H27</f>
        <v>2911</v>
      </c>
      <c r="I19" s="22">
        <f>I20+I25+I26+I27</f>
        <v>2149.8000000000002</v>
      </c>
      <c r="J19" s="22">
        <f>J20+J25+J26+J27</f>
        <v>2072.1000000000004</v>
      </c>
      <c r="K19" s="22">
        <f>K20+K25+K26+K27</f>
        <v>3004.8</v>
      </c>
      <c r="L19" s="154"/>
      <c r="M19" s="159">
        <v>1021</v>
      </c>
      <c r="N19" s="150">
        <f t="shared" si="4"/>
        <v>1198.9000000000001</v>
      </c>
      <c r="O19" s="150">
        <f t="shared" si="4"/>
        <v>1687.4</v>
      </c>
      <c r="P19" s="150">
        <f t="shared" si="4"/>
        <v>1365.9</v>
      </c>
      <c r="Q19" s="150">
        <f t="shared" si="4"/>
        <v>650.5</v>
      </c>
      <c r="R19" s="150">
        <f t="shared" si="4"/>
        <v>306.5</v>
      </c>
      <c r="S19" s="150">
        <f t="shared" si="4"/>
        <v>122.30000000000001</v>
      </c>
      <c r="T19" s="150">
        <f t="shared" si="4"/>
        <v>94.199999999999989</v>
      </c>
      <c r="U19" s="150">
        <f t="shared" si="4"/>
        <v>127.5</v>
      </c>
    </row>
    <row r="20" spans="1:21" ht="25.5" customHeight="1">
      <c r="A20" s="59" t="s">
        <v>341</v>
      </c>
      <c r="B20" s="52" t="s">
        <v>486</v>
      </c>
      <c r="C20" s="51">
        <v>1021</v>
      </c>
      <c r="D20" s="54">
        <f>SUM(D21:D24)</f>
        <v>370.1</v>
      </c>
      <c r="E20" s="54">
        <f>SUM(E21:E24)</f>
        <v>1592.9</v>
      </c>
      <c r="F20" s="54">
        <f t="shared" ref="F20:G20" si="5">SUM(F21:F24)</f>
        <v>499.70000000000005</v>
      </c>
      <c r="G20" s="54">
        <f t="shared" si="5"/>
        <v>472.50000000000006</v>
      </c>
      <c r="H20" s="54">
        <f>SUM(H21:H24)</f>
        <v>255.5</v>
      </c>
      <c r="I20" s="54">
        <f t="shared" ref="I20:K20" si="6">SUM(I21:I24)</f>
        <v>86.300000000000011</v>
      </c>
      <c r="J20" s="54">
        <f t="shared" si="6"/>
        <v>54.199999999999996</v>
      </c>
      <c r="K20" s="54">
        <f t="shared" si="6"/>
        <v>76.5</v>
      </c>
      <c r="L20" s="154"/>
      <c r="M20" s="159">
        <v>1022</v>
      </c>
      <c r="N20" s="150">
        <f t="shared" si="4"/>
        <v>4918.6000000000004</v>
      </c>
      <c r="O20" s="150">
        <f t="shared" si="4"/>
        <v>5905.6</v>
      </c>
      <c r="P20" s="150">
        <f t="shared" si="4"/>
        <v>5408.0999999999995</v>
      </c>
      <c r="Q20" s="150">
        <f t="shared" si="4"/>
        <v>5905.6</v>
      </c>
      <c r="R20" s="150">
        <f t="shared" si="4"/>
        <v>1833</v>
      </c>
      <c r="S20" s="150">
        <f t="shared" si="4"/>
        <v>1115.8</v>
      </c>
      <c r="T20" s="150">
        <f t="shared" si="4"/>
        <v>1123.8000000000002</v>
      </c>
      <c r="U20" s="150">
        <f t="shared" si="4"/>
        <v>1833</v>
      </c>
    </row>
    <row r="21" spans="1:21" ht="28.5" customHeight="1">
      <c r="A21" s="53"/>
      <c r="B21" s="68" t="s">
        <v>271</v>
      </c>
      <c r="C21" s="45"/>
      <c r="D21" s="23">
        <v>71.5</v>
      </c>
      <c r="E21" s="23">
        <v>297.89999999999998</v>
      </c>
      <c r="F21" s="23">
        <v>428</v>
      </c>
      <c r="G21" s="23">
        <f t="shared" si="3"/>
        <v>297.90000000000003</v>
      </c>
      <c r="H21" s="23">
        <v>190.3</v>
      </c>
      <c r="I21" s="23">
        <v>36.1</v>
      </c>
      <c r="J21" s="23">
        <v>35.4</v>
      </c>
      <c r="K21" s="23">
        <v>36.1</v>
      </c>
      <c r="L21" s="154"/>
      <c r="M21" s="159">
        <v>1023</v>
      </c>
      <c r="N21" s="150">
        <f t="shared" si="4"/>
        <v>1046</v>
      </c>
      <c r="O21" s="150">
        <f t="shared" si="4"/>
        <v>1256</v>
      </c>
      <c r="P21" s="150">
        <f t="shared" si="4"/>
        <v>1041</v>
      </c>
      <c r="Q21" s="150">
        <f t="shared" si="4"/>
        <v>1256</v>
      </c>
      <c r="R21" s="150">
        <f t="shared" si="4"/>
        <v>389</v>
      </c>
      <c r="S21" s="150">
        <f t="shared" si="4"/>
        <v>241.4</v>
      </c>
      <c r="T21" s="150">
        <f t="shared" si="4"/>
        <v>236.6</v>
      </c>
      <c r="U21" s="150">
        <f t="shared" si="4"/>
        <v>389</v>
      </c>
    </row>
    <row r="22" spans="1:21" ht="28.5" customHeight="1">
      <c r="A22" s="53"/>
      <c r="B22" s="68" t="s">
        <v>337</v>
      </c>
      <c r="C22" s="45"/>
      <c r="D22" s="23">
        <v>12.5</v>
      </c>
      <c r="E22" s="23">
        <v>57.6</v>
      </c>
      <c r="F22" s="23">
        <v>18.600000000000001</v>
      </c>
      <c r="G22" s="23">
        <f t="shared" si="3"/>
        <v>67.400000000000006</v>
      </c>
      <c r="H22" s="23">
        <v>33</v>
      </c>
      <c r="I22" s="23">
        <v>18</v>
      </c>
      <c r="J22" s="23">
        <v>8.1999999999999993</v>
      </c>
      <c r="K22" s="23">
        <v>8.1999999999999993</v>
      </c>
      <c r="L22" s="154"/>
      <c r="M22" s="159">
        <v>1024</v>
      </c>
      <c r="N22" s="150">
        <f t="shared" si="4"/>
        <v>1450.2</v>
      </c>
      <c r="O22" s="150">
        <f t="shared" si="4"/>
        <v>1450.2</v>
      </c>
      <c r="P22" s="150">
        <f t="shared" si="4"/>
        <v>3048.4</v>
      </c>
      <c r="Q22" s="150">
        <f t="shared" si="4"/>
        <v>2652</v>
      </c>
      <c r="R22" s="150">
        <f t="shared" si="4"/>
        <v>663</v>
      </c>
      <c r="S22" s="150">
        <f t="shared" si="4"/>
        <v>663</v>
      </c>
      <c r="T22" s="150">
        <f t="shared" si="4"/>
        <v>663</v>
      </c>
      <c r="U22" s="150">
        <f t="shared" si="4"/>
        <v>663</v>
      </c>
    </row>
    <row r="23" spans="1:21" ht="24.75" customHeight="1">
      <c r="A23" s="53"/>
      <c r="B23" s="68" t="s">
        <v>294</v>
      </c>
      <c r="C23" s="45"/>
      <c r="D23" s="23">
        <v>265.3</v>
      </c>
      <c r="E23" s="23">
        <v>1168</v>
      </c>
      <c r="F23" s="23">
        <v>24.3</v>
      </c>
      <c r="G23" s="23">
        <f t="shared" si="3"/>
        <v>0</v>
      </c>
      <c r="H23" s="23"/>
      <c r="I23" s="23"/>
      <c r="J23" s="23"/>
      <c r="K23" s="23"/>
      <c r="L23" s="154"/>
      <c r="M23" s="159">
        <v>1025</v>
      </c>
      <c r="N23" s="150">
        <f t="shared" si="4"/>
        <v>4895.2999999999993</v>
      </c>
      <c r="O23" s="150">
        <f t="shared" si="4"/>
        <v>5171.7</v>
      </c>
      <c r="P23" s="150">
        <f t="shared" si="4"/>
        <v>6120.3000000000011</v>
      </c>
      <c r="Q23" s="150">
        <f t="shared" si="4"/>
        <v>8514.7000000000007</v>
      </c>
      <c r="R23" s="150">
        <f t="shared" si="4"/>
        <v>2850.2</v>
      </c>
      <c r="S23" s="150">
        <f t="shared" si="4"/>
        <v>1532</v>
      </c>
      <c r="T23" s="150">
        <f t="shared" si="4"/>
        <v>1342.3000000000002</v>
      </c>
      <c r="U23" s="150">
        <f t="shared" si="4"/>
        <v>2790.2</v>
      </c>
    </row>
    <row r="24" spans="1:21" ht="28.5" customHeight="1">
      <c r="A24" s="53"/>
      <c r="B24" s="68" t="s">
        <v>359</v>
      </c>
      <c r="C24" s="45"/>
      <c r="D24" s="23">
        <v>20.8</v>
      </c>
      <c r="E24" s="23">
        <v>69.400000000000006</v>
      </c>
      <c r="F24" s="23">
        <v>28.8</v>
      </c>
      <c r="G24" s="23">
        <f t="shared" si="3"/>
        <v>107.2</v>
      </c>
      <c r="H24" s="23">
        <v>32.200000000000003</v>
      </c>
      <c r="I24" s="23">
        <v>32.200000000000003</v>
      </c>
      <c r="J24" s="23">
        <v>10.6</v>
      </c>
      <c r="K24" s="23">
        <v>32.200000000000003</v>
      </c>
      <c r="L24" s="154"/>
      <c r="M24" s="159"/>
      <c r="N24" s="150"/>
      <c r="O24" s="150"/>
      <c r="P24" s="150"/>
      <c r="Q24" s="150"/>
      <c r="R24" s="150"/>
      <c r="S24" s="150"/>
      <c r="T24" s="150"/>
      <c r="U24" s="150"/>
    </row>
    <row r="25" spans="1:21" ht="26.25" customHeight="1">
      <c r="A25" s="59" t="s">
        <v>266</v>
      </c>
      <c r="B25" s="52" t="s">
        <v>1</v>
      </c>
      <c r="C25" s="51">
        <v>1022</v>
      </c>
      <c r="D25" s="54">
        <v>3866.4</v>
      </c>
      <c r="E25" s="54">
        <v>5905.6</v>
      </c>
      <c r="F25" s="54">
        <f>4854.9+553.2</f>
        <v>5408.0999999999995</v>
      </c>
      <c r="G25" s="54">
        <f t="shared" si="3"/>
        <v>5905.6</v>
      </c>
      <c r="H25" s="54">
        <f>1516.2+101.1+84.5+131.2</f>
        <v>1833</v>
      </c>
      <c r="I25" s="54">
        <f>70.2+914.4+131.2</f>
        <v>1115.8</v>
      </c>
      <c r="J25" s="54">
        <f>1096.4+27.4</f>
        <v>1123.8000000000002</v>
      </c>
      <c r="K25" s="54">
        <f>1516.2+101.1+84.5+131.2</f>
        <v>1833</v>
      </c>
      <c r="L25" s="154"/>
      <c r="M25" s="159">
        <v>1030</v>
      </c>
      <c r="N25" s="220">
        <f t="shared" ref="N25:U30" si="7">SUMIF($C$7:$C$218,$M25,D$7:D$218)</f>
        <v>493.2</v>
      </c>
      <c r="O25" s="220">
        <f t="shared" si="7"/>
        <v>722.6</v>
      </c>
      <c r="P25" s="220">
        <f t="shared" si="7"/>
        <v>442.2</v>
      </c>
      <c r="Q25" s="220">
        <f t="shared" si="7"/>
        <v>722.59999999999991</v>
      </c>
      <c r="R25" s="220">
        <f t="shared" si="7"/>
        <v>153.19999999999999</v>
      </c>
      <c r="S25" s="220">
        <f t="shared" si="7"/>
        <v>153.19999999999999</v>
      </c>
      <c r="T25" s="220">
        <f t="shared" si="7"/>
        <v>263</v>
      </c>
      <c r="U25" s="220">
        <f t="shared" si="7"/>
        <v>153.19999999999999</v>
      </c>
    </row>
    <row r="26" spans="1:21" ht="27.75" customHeight="1">
      <c r="A26" s="59" t="s">
        <v>405</v>
      </c>
      <c r="B26" s="52" t="s">
        <v>2</v>
      </c>
      <c r="C26" s="51">
        <v>1023</v>
      </c>
      <c r="D26" s="54">
        <v>825.1</v>
      </c>
      <c r="E26" s="54">
        <v>1256</v>
      </c>
      <c r="F26" s="54">
        <f>948.2+92.8</f>
        <v>1041</v>
      </c>
      <c r="G26" s="54">
        <f t="shared" si="3"/>
        <v>1256</v>
      </c>
      <c r="H26" s="54">
        <f>323+20.6+18+27.4</f>
        <v>389</v>
      </c>
      <c r="I26" s="54">
        <f>15.2+198.8+27.4</f>
        <v>241.4</v>
      </c>
      <c r="J26" s="54">
        <f>231+5.6</f>
        <v>236.6</v>
      </c>
      <c r="K26" s="54">
        <f>323+20.6+18+27.4</f>
        <v>389</v>
      </c>
      <c r="L26" s="154"/>
      <c r="M26" s="159">
        <v>1031</v>
      </c>
      <c r="N26" s="150">
        <f t="shared" si="7"/>
        <v>0</v>
      </c>
      <c r="O26" s="150">
        <f t="shared" si="7"/>
        <v>0</v>
      </c>
      <c r="P26" s="150">
        <f t="shared" si="7"/>
        <v>0</v>
      </c>
      <c r="Q26" s="150">
        <f t="shared" si="7"/>
        <v>0</v>
      </c>
      <c r="R26" s="150">
        <f t="shared" si="7"/>
        <v>0</v>
      </c>
      <c r="S26" s="150">
        <f t="shared" si="7"/>
        <v>0</v>
      </c>
      <c r="T26" s="150">
        <f t="shared" si="7"/>
        <v>0</v>
      </c>
      <c r="U26" s="150">
        <f t="shared" si="7"/>
        <v>0</v>
      </c>
    </row>
    <row r="27" spans="1:21" ht="25.5" customHeight="1">
      <c r="A27" s="59" t="s">
        <v>476</v>
      </c>
      <c r="B27" s="79" t="s">
        <v>487</v>
      </c>
      <c r="C27" s="51">
        <v>1025</v>
      </c>
      <c r="D27" s="54">
        <f>SUM(D28:D46)</f>
        <v>529.79999999999995</v>
      </c>
      <c r="E27" s="54">
        <f>SUM(E28:E46)</f>
        <v>1429.1</v>
      </c>
      <c r="F27" s="54">
        <f>SUM(F28:F46)</f>
        <v>636.79999999999995</v>
      </c>
      <c r="G27" s="54">
        <f>H27+I27+J27+K27</f>
        <v>2503.6000000000004</v>
      </c>
      <c r="H27" s="54">
        <f>SUM(H28:H46)</f>
        <v>433.5</v>
      </c>
      <c r="I27" s="54">
        <f>SUM(I28:I46)</f>
        <v>706.30000000000007</v>
      </c>
      <c r="J27" s="54">
        <f>SUM(J28:J46)</f>
        <v>657.50000000000011</v>
      </c>
      <c r="K27" s="54">
        <f>SUM(K28:K46)</f>
        <v>706.30000000000007</v>
      </c>
      <c r="L27" s="154"/>
      <c r="M27" s="159">
        <v>1032</v>
      </c>
      <c r="N27" s="150">
        <f t="shared" si="7"/>
        <v>385.6</v>
      </c>
      <c r="O27" s="150">
        <f t="shared" si="7"/>
        <v>595</v>
      </c>
      <c r="P27" s="150">
        <f t="shared" si="7"/>
        <v>363.5</v>
      </c>
      <c r="Q27" s="150">
        <f t="shared" si="7"/>
        <v>595</v>
      </c>
      <c r="R27" s="150">
        <f t="shared" si="7"/>
        <v>126.6</v>
      </c>
      <c r="S27" s="150">
        <f t="shared" si="7"/>
        <v>126.6</v>
      </c>
      <c r="T27" s="150">
        <f t="shared" si="7"/>
        <v>215.2</v>
      </c>
      <c r="U27" s="150">
        <f t="shared" si="7"/>
        <v>126.6</v>
      </c>
    </row>
    <row r="28" spans="1:21" ht="27" customHeight="1">
      <c r="A28" s="53"/>
      <c r="B28" s="69" t="s">
        <v>329</v>
      </c>
      <c r="C28" s="45"/>
      <c r="D28" s="23">
        <v>8.3000000000000007</v>
      </c>
      <c r="E28" s="23">
        <v>21.9</v>
      </c>
      <c r="F28" s="23">
        <v>8.3000000000000007</v>
      </c>
      <c r="G28" s="23">
        <f t="shared" si="3"/>
        <v>21.9</v>
      </c>
      <c r="H28" s="23">
        <v>6.8</v>
      </c>
      <c r="I28" s="23">
        <v>6.8</v>
      </c>
      <c r="J28" s="23">
        <v>1.5</v>
      </c>
      <c r="K28" s="23">
        <v>6.8</v>
      </c>
      <c r="L28" s="154"/>
      <c r="M28" s="159">
        <v>1033</v>
      </c>
      <c r="N28" s="150">
        <f t="shared" si="7"/>
        <v>83.100000000000009</v>
      </c>
      <c r="O28" s="150">
        <f t="shared" si="7"/>
        <v>127.6</v>
      </c>
      <c r="P28" s="150">
        <f t="shared" si="7"/>
        <v>78.7</v>
      </c>
      <c r="Q28" s="150">
        <f t="shared" si="7"/>
        <v>127.6</v>
      </c>
      <c r="R28" s="150">
        <f t="shared" si="7"/>
        <v>26.6</v>
      </c>
      <c r="S28" s="150">
        <f t="shared" si="7"/>
        <v>26.6</v>
      </c>
      <c r="T28" s="150">
        <f t="shared" si="7"/>
        <v>47.8</v>
      </c>
      <c r="U28" s="150">
        <f t="shared" si="7"/>
        <v>26.6</v>
      </c>
    </row>
    <row r="29" spans="1:21" ht="27.75" customHeight="1">
      <c r="A29" s="53"/>
      <c r="B29" s="42" t="s">
        <v>336</v>
      </c>
      <c r="C29" s="45"/>
      <c r="D29" s="23">
        <v>4.2</v>
      </c>
      <c r="E29" s="23">
        <v>18.3</v>
      </c>
      <c r="F29" s="23">
        <v>4.2</v>
      </c>
      <c r="G29" s="23">
        <f t="shared" si="3"/>
        <v>4.8000000000000007</v>
      </c>
      <c r="H29" s="23"/>
      <c r="I29" s="23">
        <v>1.6</v>
      </c>
      <c r="J29" s="23">
        <v>1.6</v>
      </c>
      <c r="K29" s="23">
        <v>1.6</v>
      </c>
      <c r="L29" s="154"/>
      <c r="M29" s="159">
        <v>1034</v>
      </c>
      <c r="N29" s="150">
        <f t="shared" si="7"/>
        <v>0</v>
      </c>
      <c r="O29" s="150">
        <f t="shared" si="7"/>
        <v>0</v>
      </c>
      <c r="P29" s="150">
        <f t="shared" si="7"/>
        <v>0</v>
      </c>
      <c r="Q29" s="150">
        <f t="shared" si="7"/>
        <v>0</v>
      </c>
      <c r="R29" s="150">
        <f t="shared" si="7"/>
        <v>0</v>
      </c>
      <c r="S29" s="150">
        <f t="shared" si="7"/>
        <v>0</v>
      </c>
      <c r="T29" s="150">
        <f t="shared" si="7"/>
        <v>0</v>
      </c>
      <c r="U29" s="150">
        <f t="shared" si="7"/>
        <v>0</v>
      </c>
    </row>
    <row r="30" spans="1:21" ht="27.75" customHeight="1">
      <c r="A30" s="53"/>
      <c r="B30" s="44" t="s">
        <v>338</v>
      </c>
      <c r="C30" s="45"/>
      <c r="D30" s="23"/>
      <c r="E30" s="23"/>
      <c r="F30" s="23">
        <v>126.2</v>
      </c>
      <c r="G30" s="23">
        <f t="shared" si="3"/>
        <v>1294.2</v>
      </c>
      <c r="H30" s="23">
        <v>164.4</v>
      </c>
      <c r="I30" s="23">
        <v>376.6</v>
      </c>
      <c r="J30" s="23">
        <v>376.6</v>
      </c>
      <c r="K30" s="23">
        <v>376.6</v>
      </c>
      <c r="L30" s="154"/>
      <c r="M30" s="159">
        <v>1035</v>
      </c>
      <c r="N30" s="150">
        <f t="shared" si="7"/>
        <v>24.5</v>
      </c>
      <c r="O30" s="150">
        <f t="shared" si="7"/>
        <v>0</v>
      </c>
      <c r="P30" s="150">
        <f t="shared" si="7"/>
        <v>0</v>
      </c>
      <c r="Q30" s="150">
        <f t="shared" si="7"/>
        <v>0</v>
      </c>
      <c r="R30" s="150">
        <f t="shared" si="7"/>
        <v>0</v>
      </c>
      <c r="S30" s="150">
        <f t="shared" si="7"/>
        <v>0</v>
      </c>
      <c r="T30" s="150">
        <f t="shared" si="7"/>
        <v>0</v>
      </c>
      <c r="U30" s="150">
        <f t="shared" si="7"/>
        <v>0</v>
      </c>
    </row>
    <row r="31" spans="1:21" ht="29.25" customHeight="1">
      <c r="A31" s="53"/>
      <c r="B31" s="34" t="s">
        <v>230</v>
      </c>
      <c r="C31" s="45"/>
      <c r="D31" s="23">
        <v>231.1</v>
      </c>
      <c r="E31" s="23">
        <v>774.7</v>
      </c>
      <c r="F31" s="23">
        <v>234.5</v>
      </c>
      <c r="G31" s="23">
        <f t="shared" si="3"/>
        <v>648.5</v>
      </c>
      <c r="H31" s="23">
        <v>54.5</v>
      </c>
      <c r="I31" s="23">
        <v>198</v>
      </c>
      <c r="J31" s="23">
        <v>198</v>
      </c>
      <c r="K31" s="23">
        <v>198</v>
      </c>
      <c r="L31" s="154"/>
      <c r="M31" s="159"/>
      <c r="N31" s="150"/>
      <c r="O31" s="150"/>
      <c r="P31" s="150"/>
      <c r="Q31" s="150"/>
      <c r="R31" s="150"/>
      <c r="S31" s="150"/>
      <c r="T31" s="150"/>
      <c r="U31" s="150"/>
    </row>
    <row r="32" spans="1:21" ht="27" customHeight="1">
      <c r="A32" s="53"/>
      <c r="B32" s="34" t="s">
        <v>330</v>
      </c>
      <c r="C32" s="45"/>
      <c r="D32" s="23">
        <v>8.6</v>
      </c>
      <c r="E32" s="23">
        <v>19.2</v>
      </c>
      <c r="F32" s="23">
        <v>1.7</v>
      </c>
      <c r="G32" s="23">
        <f t="shared" si="3"/>
        <v>19.2</v>
      </c>
      <c r="H32" s="23">
        <v>5.3</v>
      </c>
      <c r="I32" s="23">
        <v>5.3</v>
      </c>
      <c r="J32" s="23">
        <v>3.3</v>
      </c>
      <c r="K32" s="23">
        <v>5.3</v>
      </c>
      <c r="L32" s="154"/>
      <c r="M32" s="159">
        <v>9000</v>
      </c>
      <c r="N32" s="150">
        <f>SUM(N12,N19,N26)</f>
        <v>18441.100000000002</v>
      </c>
      <c r="O32" s="150">
        <f t="shared" ref="O32:U32" si="8">SUM(O12,O19,O26)</f>
        <v>21738.400000000001</v>
      </c>
      <c r="P32" s="150">
        <f t="shared" si="8"/>
        <v>30415.100000000002</v>
      </c>
      <c r="Q32" s="150">
        <f t="shared" si="8"/>
        <v>29390.5</v>
      </c>
      <c r="R32" s="150">
        <f t="shared" si="8"/>
        <v>10041.5</v>
      </c>
      <c r="S32" s="150">
        <f t="shared" si="8"/>
        <v>7539.2</v>
      </c>
      <c r="T32" s="150">
        <f t="shared" si="8"/>
        <v>5439.4999999999991</v>
      </c>
      <c r="U32" s="150">
        <f t="shared" si="8"/>
        <v>6370.3</v>
      </c>
    </row>
    <row r="33" spans="1:21" ht="27" customHeight="1">
      <c r="A33" s="53"/>
      <c r="B33" s="34" t="s">
        <v>331</v>
      </c>
      <c r="C33" s="45"/>
      <c r="D33" s="23">
        <v>28.8</v>
      </c>
      <c r="E33" s="23">
        <v>79.2</v>
      </c>
      <c r="F33" s="23"/>
      <c r="G33" s="23">
        <f t="shared" si="3"/>
        <v>79.2</v>
      </c>
      <c r="H33" s="23">
        <v>25.2</v>
      </c>
      <c r="I33" s="23">
        <v>25.2</v>
      </c>
      <c r="J33" s="23">
        <v>3.6</v>
      </c>
      <c r="K33" s="23">
        <v>25.2</v>
      </c>
      <c r="L33" s="154"/>
      <c r="M33" s="159">
        <v>9010</v>
      </c>
      <c r="N33" s="150">
        <f>SUM(N13,N20,N27)</f>
        <v>26236.699999999997</v>
      </c>
      <c r="O33" s="150">
        <f t="shared" ref="O33:U33" si="9">SUM(O13,O20,O27)</f>
        <v>43554.400000000001</v>
      </c>
      <c r="P33" s="150">
        <f t="shared" si="9"/>
        <v>39731.499999999993</v>
      </c>
      <c r="Q33" s="150">
        <f t="shared" si="9"/>
        <v>51794.799999999996</v>
      </c>
      <c r="R33" s="150">
        <f t="shared" si="9"/>
        <v>12250.1</v>
      </c>
      <c r="S33" s="150">
        <f t="shared" si="9"/>
        <v>13648.599999999999</v>
      </c>
      <c r="T33" s="150">
        <f t="shared" si="9"/>
        <v>12635.7</v>
      </c>
      <c r="U33" s="150">
        <f t="shared" si="9"/>
        <v>13260.4</v>
      </c>
    </row>
    <row r="34" spans="1:21" ht="27" customHeight="1">
      <c r="A34" s="53"/>
      <c r="B34" s="34" t="s">
        <v>332</v>
      </c>
      <c r="C34" s="45"/>
      <c r="D34" s="23">
        <v>14.4</v>
      </c>
      <c r="E34" s="23">
        <v>28.8</v>
      </c>
      <c r="F34" s="23">
        <v>14.4</v>
      </c>
      <c r="G34" s="23">
        <f t="shared" si="3"/>
        <v>28.8</v>
      </c>
      <c r="H34" s="23">
        <v>7.2</v>
      </c>
      <c r="I34" s="23">
        <v>7.2</v>
      </c>
      <c r="J34" s="23">
        <v>7.2</v>
      </c>
      <c r="K34" s="23">
        <v>7.2</v>
      </c>
      <c r="L34" s="154"/>
      <c r="M34" s="159">
        <v>9020</v>
      </c>
      <c r="N34" s="150">
        <f>SUM(N14,N21,N28)</f>
        <v>5546.3</v>
      </c>
      <c r="O34" s="150">
        <f t="shared" ref="O34:U34" si="10">SUM(O14,O21,O28)</f>
        <v>8661.7000000000007</v>
      </c>
      <c r="P34" s="150">
        <f t="shared" si="10"/>
        <v>8426.6</v>
      </c>
      <c r="Q34" s="150">
        <f t="shared" si="10"/>
        <v>10860.900000000001</v>
      </c>
      <c r="R34" s="150">
        <f t="shared" si="10"/>
        <v>2576</v>
      </c>
      <c r="S34" s="150">
        <f t="shared" si="10"/>
        <v>2870.1</v>
      </c>
      <c r="T34" s="150">
        <f t="shared" si="10"/>
        <v>2644.8</v>
      </c>
      <c r="U34" s="150">
        <f t="shared" si="10"/>
        <v>2770</v>
      </c>
    </row>
    <row r="35" spans="1:21" ht="27" customHeight="1">
      <c r="A35" s="53"/>
      <c r="B35" s="34" t="s">
        <v>333</v>
      </c>
      <c r="C35" s="45"/>
      <c r="D35" s="23">
        <v>13.8</v>
      </c>
      <c r="E35" s="23">
        <v>27.6</v>
      </c>
      <c r="F35" s="23">
        <v>13.8</v>
      </c>
      <c r="G35" s="23">
        <f t="shared" si="3"/>
        <v>27.6</v>
      </c>
      <c r="H35" s="23">
        <v>6.9</v>
      </c>
      <c r="I35" s="23">
        <v>6.9</v>
      </c>
      <c r="J35" s="23">
        <v>6.9</v>
      </c>
      <c r="K35" s="23">
        <v>6.9</v>
      </c>
      <c r="L35" s="154"/>
      <c r="M35" s="159">
        <v>9030</v>
      </c>
      <c r="N35" s="150">
        <f>SUM(N15,N22,N29)</f>
        <v>1450.2</v>
      </c>
      <c r="O35" s="150">
        <f t="shared" ref="O35:U35" si="11">SUM(O15,O22,O29)</f>
        <v>1450.2</v>
      </c>
      <c r="P35" s="150">
        <f t="shared" si="11"/>
        <v>3048.4</v>
      </c>
      <c r="Q35" s="150">
        <f t="shared" si="11"/>
        <v>2652</v>
      </c>
      <c r="R35" s="150">
        <f t="shared" si="11"/>
        <v>663</v>
      </c>
      <c r="S35" s="150">
        <f t="shared" si="11"/>
        <v>663</v>
      </c>
      <c r="T35" s="150">
        <f t="shared" si="11"/>
        <v>663</v>
      </c>
      <c r="U35" s="150">
        <f t="shared" si="11"/>
        <v>663</v>
      </c>
    </row>
    <row r="36" spans="1:21" ht="27" customHeight="1">
      <c r="A36" s="53"/>
      <c r="B36" s="34" t="s">
        <v>334</v>
      </c>
      <c r="C36" s="45"/>
      <c r="D36" s="23">
        <v>22</v>
      </c>
      <c r="E36" s="23">
        <v>44</v>
      </c>
      <c r="F36" s="23">
        <v>22</v>
      </c>
      <c r="G36" s="23">
        <f t="shared" si="3"/>
        <v>44</v>
      </c>
      <c r="H36" s="23">
        <v>11</v>
      </c>
      <c r="I36" s="23">
        <v>11</v>
      </c>
      <c r="J36" s="23">
        <v>11</v>
      </c>
      <c r="K36" s="23">
        <v>11</v>
      </c>
      <c r="L36" s="154"/>
      <c r="M36" s="159">
        <v>9040</v>
      </c>
      <c r="N36" s="150">
        <f>SUM(N16,N23,N30)</f>
        <v>5042.7999999999993</v>
      </c>
      <c r="O36" s="150">
        <f t="shared" ref="O36:U36" si="12">SUM(O16,O23,O30)</f>
        <v>5295.9</v>
      </c>
      <c r="P36" s="150">
        <f t="shared" si="12"/>
        <v>6124.4000000000015</v>
      </c>
      <c r="Q36" s="150">
        <f t="shared" si="12"/>
        <v>8543.7000000000007</v>
      </c>
      <c r="R36" s="150">
        <f t="shared" si="12"/>
        <v>2850.2</v>
      </c>
      <c r="S36" s="150">
        <f t="shared" si="12"/>
        <v>1546.5</v>
      </c>
      <c r="T36" s="150">
        <f t="shared" si="12"/>
        <v>1356.8000000000002</v>
      </c>
      <c r="U36" s="150">
        <f t="shared" si="12"/>
        <v>2790.2</v>
      </c>
    </row>
    <row r="37" spans="1:21" ht="27" customHeight="1">
      <c r="A37" s="53"/>
      <c r="B37" s="34" t="s">
        <v>365</v>
      </c>
      <c r="C37" s="45"/>
      <c r="D37" s="23">
        <v>2.5</v>
      </c>
      <c r="E37" s="23">
        <v>7.5</v>
      </c>
      <c r="F37" s="23">
        <v>2.5</v>
      </c>
      <c r="G37" s="23">
        <f t="shared" si="3"/>
        <v>7.5</v>
      </c>
      <c r="H37" s="23"/>
      <c r="I37" s="23">
        <v>2.5</v>
      </c>
      <c r="J37" s="23">
        <v>2.5</v>
      </c>
      <c r="K37" s="23">
        <v>2.5</v>
      </c>
      <c r="L37" s="154"/>
      <c r="M37" s="159">
        <v>9050</v>
      </c>
      <c r="N37" s="220">
        <f>SUM(N32:N36)</f>
        <v>56717.100000000006</v>
      </c>
      <c r="O37" s="220">
        <f t="shared" ref="O37:U37" si="13">SUM(O32:O36)</f>
        <v>80700.599999999991</v>
      </c>
      <c r="P37" s="220">
        <f t="shared" si="13"/>
        <v>87746</v>
      </c>
      <c r="Q37" s="220">
        <f t="shared" si="13"/>
        <v>103241.89999999998</v>
      </c>
      <c r="R37" s="220">
        <f t="shared" si="13"/>
        <v>28380.799999999999</v>
      </c>
      <c r="S37" s="220">
        <f t="shared" si="13"/>
        <v>26267.399999999998</v>
      </c>
      <c r="T37" s="220">
        <f t="shared" si="13"/>
        <v>22739.8</v>
      </c>
      <c r="U37" s="220">
        <f t="shared" si="13"/>
        <v>25853.9</v>
      </c>
    </row>
    <row r="38" spans="1:21" ht="27" customHeight="1">
      <c r="A38" s="53"/>
      <c r="B38" s="34" t="s">
        <v>362</v>
      </c>
      <c r="C38" s="45"/>
      <c r="D38" s="23">
        <v>59.4</v>
      </c>
      <c r="E38" s="23">
        <v>178.2</v>
      </c>
      <c r="F38" s="23">
        <v>59.4</v>
      </c>
      <c r="G38" s="23">
        <f t="shared" si="3"/>
        <v>98.2</v>
      </c>
      <c r="H38" s="23">
        <v>98.2</v>
      </c>
      <c r="I38" s="23">
        <v>0</v>
      </c>
      <c r="J38" s="23">
        <v>0</v>
      </c>
      <c r="K38" s="23">
        <v>0</v>
      </c>
      <c r="L38" s="154"/>
      <c r="M38" s="160"/>
      <c r="N38" s="150">
        <f>N32-'Фінансовий план КНП'!C88</f>
        <v>0</v>
      </c>
      <c r="O38" s="150">
        <f>O32-'Фінансовий план КНП'!D88</f>
        <v>0</v>
      </c>
      <c r="P38" s="150">
        <f>P32-'Фінансовий план КНП'!E88</f>
        <v>0</v>
      </c>
      <c r="Q38" s="150">
        <f>Q32-'Фінансовий план КНП'!F88</f>
        <v>0</v>
      </c>
      <c r="R38" s="150">
        <f>R32-'Фінансовий план КНП'!G88</f>
        <v>0</v>
      </c>
      <c r="S38" s="150">
        <f>S32-'Фінансовий план КНП'!H88</f>
        <v>0</v>
      </c>
      <c r="T38" s="150">
        <f>T32-'Фінансовий план КНП'!I88</f>
        <v>0</v>
      </c>
      <c r="U38" s="150">
        <f>U32-'Фінансовий план КНП'!J88</f>
        <v>0</v>
      </c>
    </row>
    <row r="39" spans="1:21" ht="27" customHeight="1">
      <c r="A39" s="53"/>
      <c r="B39" s="34" t="s">
        <v>363</v>
      </c>
      <c r="C39" s="45"/>
      <c r="D39" s="23">
        <v>0.7</v>
      </c>
      <c r="E39" s="23">
        <v>2.8</v>
      </c>
      <c r="F39" s="23">
        <v>0.7</v>
      </c>
      <c r="G39" s="23">
        <f t="shared" si="3"/>
        <v>2.8</v>
      </c>
      <c r="H39" s="23">
        <v>0.7</v>
      </c>
      <c r="I39" s="23">
        <v>0.7</v>
      </c>
      <c r="J39" s="23">
        <v>0.7</v>
      </c>
      <c r="K39" s="23">
        <v>0.7</v>
      </c>
      <c r="L39" s="154"/>
      <c r="M39" s="160"/>
      <c r="N39" s="150">
        <f>N33-'Фінансовий план КНП'!C89</f>
        <v>0</v>
      </c>
      <c r="O39" s="150">
        <f>O33-'Фінансовий план КНП'!D89</f>
        <v>0</v>
      </c>
      <c r="P39" s="150">
        <f>P33-'Фінансовий план КНП'!E89</f>
        <v>0</v>
      </c>
      <c r="Q39" s="150">
        <f>Q33-'Фінансовий план КНП'!F89</f>
        <v>0</v>
      </c>
      <c r="R39" s="150">
        <f>R33-'Фінансовий план КНП'!G89</f>
        <v>0</v>
      </c>
      <c r="S39" s="150">
        <f>S33-'Фінансовий план КНП'!H89</f>
        <v>0</v>
      </c>
      <c r="T39" s="150">
        <f>T33-'Фінансовий план КНП'!I89</f>
        <v>0</v>
      </c>
      <c r="U39" s="150">
        <f>U33-'Фінансовий план КНП'!J89</f>
        <v>0</v>
      </c>
    </row>
    <row r="40" spans="1:21" ht="27" customHeight="1">
      <c r="A40" s="53"/>
      <c r="B40" s="34" t="s">
        <v>234</v>
      </c>
      <c r="C40" s="45"/>
      <c r="D40" s="23">
        <v>115.9</v>
      </c>
      <c r="E40" s="23">
        <v>174</v>
      </c>
      <c r="F40" s="23">
        <v>139.4</v>
      </c>
      <c r="G40" s="23">
        <f t="shared" si="3"/>
        <v>174</v>
      </c>
      <c r="H40" s="25">
        <v>43.8</v>
      </c>
      <c r="I40" s="25">
        <v>43.4</v>
      </c>
      <c r="J40" s="25">
        <v>43.4</v>
      </c>
      <c r="K40" s="25">
        <v>43.4</v>
      </c>
      <c r="N40" s="150">
        <f>N34-'Фінансовий план КНП'!C90</f>
        <v>0</v>
      </c>
      <c r="O40" s="150">
        <f>O34-'Фінансовий план КНП'!D90</f>
        <v>0</v>
      </c>
      <c r="P40" s="150">
        <f>P34-'Фінансовий план КНП'!E90</f>
        <v>0</v>
      </c>
      <c r="Q40" s="150">
        <f>Q34-'Фінансовий план КНП'!F90</f>
        <v>0</v>
      </c>
      <c r="R40" s="150">
        <f>R34-'Фінансовий план КНП'!G90</f>
        <v>0</v>
      </c>
      <c r="S40" s="150">
        <f>S34-'Фінансовий план КНП'!H90</f>
        <v>0</v>
      </c>
      <c r="T40" s="150">
        <f>T34-'Фінансовий план КНП'!I90</f>
        <v>0</v>
      </c>
      <c r="U40" s="150">
        <f>U34-'Фінансовий план КНП'!J90</f>
        <v>0</v>
      </c>
    </row>
    <row r="41" spans="1:21" ht="27" customHeight="1">
      <c r="A41" s="53"/>
      <c r="B41" s="44" t="s">
        <v>335</v>
      </c>
      <c r="C41" s="45"/>
      <c r="D41" s="23">
        <v>0.2</v>
      </c>
      <c r="E41" s="23">
        <v>3.6</v>
      </c>
      <c r="F41" s="23">
        <v>0.2</v>
      </c>
      <c r="G41" s="23">
        <f t="shared" si="3"/>
        <v>3.5999999999999996</v>
      </c>
      <c r="H41" s="25"/>
      <c r="I41" s="25">
        <v>1.2</v>
      </c>
      <c r="J41" s="25">
        <v>1.2</v>
      </c>
      <c r="K41" s="25">
        <v>1.2</v>
      </c>
      <c r="L41" s="300"/>
      <c r="M41" s="301"/>
      <c r="N41" s="150">
        <f>N35-'Фінансовий план КНП'!C91</f>
        <v>0</v>
      </c>
      <c r="O41" s="150">
        <f>O35-'Фінансовий план КНП'!D91</f>
        <v>0</v>
      </c>
      <c r="P41" s="150">
        <f>P35-'Фінансовий план КНП'!E91</f>
        <v>0</v>
      </c>
      <c r="Q41" s="150">
        <f>Q35-'Фінансовий план КНП'!F91</f>
        <v>0</v>
      </c>
      <c r="R41" s="150">
        <f>R35-'Фінансовий план КНП'!G91</f>
        <v>0</v>
      </c>
      <c r="S41" s="150">
        <f>S35-'Фінансовий план КНП'!H91</f>
        <v>0</v>
      </c>
      <c r="T41" s="150">
        <f>T35-'Фінансовий план КНП'!I91</f>
        <v>0</v>
      </c>
      <c r="U41" s="150">
        <f>U35-'Фінансовий план КНП'!J91</f>
        <v>0</v>
      </c>
    </row>
    <row r="42" spans="1:21" ht="27" hidden="1" customHeight="1">
      <c r="A42" s="53"/>
      <c r="B42" s="44" t="s">
        <v>336</v>
      </c>
      <c r="C42" s="45"/>
      <c r="D42" s="23"/>
      <c r="E42" s="23">
        <v>0</v>
      </c>
      <c r="F42" s="23">
        <v>0</v>
      </c>
      <c r="G42" s="23">
        <f t="shared" si="3"/>
        <v>0</v>
      </c>
      <c r="H42" s="23"/>
      <c r="I42" s="23"/>
      <c r="J42" s="23"/>
      <c r="K42" s="23"/>
      <c r="L42" s="154"/>
      <c r="N42" s="150">
        <f>N36-'Фінансовий план КНП'!C92</f>
        <v>0</v>
      </c>
      <c r="O42" s="150">
        <f>O36-'Фінансовий план КНП'!D92</f>
        <v>0</v>
      </c>
      <c r="P42" s="150">
        <f>P36-'Фінансовий план КНП'!E92</f>
        <v>0</v>
      </c>
      <c r="Q42" s="150">
        <f>Q36-'Фінансовий план КНП'!F92</f>
        <v>0</v>
      </c>
      <c r="R42" s="150">
        <f>R36-'Фінансовий план КНП'!G92</f>
        <v>0</v>
      </c>
      <c r="S42" s="150">
        <f>S36-'Фінансовий план КНП'!H92</f>
        <v>0</v>
      </c>
      <c r="T42" s="150">
        <f>T36-'Фінансовий план КНП'!I92</f>
        <v>0</v>
      </c>
      <c r="U42" s="150">
        <f>U36-'Фінансовий план КНП'!J92</f>
        <v>0</v>
      </c>
    </row>
    <row r="43" spans="1:21" ht="27" customHeight="1">
      <c r="A43" s="53"/>
      <c r="B43" s="44" t="s">
        <v>360</v>
      </c>
      <c r="C43" s="45"/>
      <c r="D43" s="23">
        <v>10.4</v>
      </c>
      <c r="E43" s="23">
        <v>20.8</v>
      </c>
      <c r="F43" s="23"/>
      <c r="G43" s="23">
        <f t="shared" si="3"/>
        <v>20.8</v>
      </c>
      <c r="H43" s="23"/>
      <c r="I43" s="23">
        <v>10.4</v>
      </c>
      <c r="J43" s="23"/>
      <c r="K43" s="23">
        <v>10.4</v>
      </c>
      <c r="L43" s="154"/>
      <c r="N43" s="150">
        <f>N37-'Фінансовий план КНП'!C93</f>
        <v>0</v>
      </c>
      <c r="O43" s="150">
        <f>O37-'Фінансовий план КНП'!D93</f>
        <v>0</v>
      </c>
      <c r="P43" s="150">
        <f>P37-'Фінансовий план КНП'!E93</f>
        <v>0</v>
      </c>
      <c r="Q43" s="150">
        <f>Q37-'Фінансовий план КНП'!F93</f>
        <v>0</v>
      </c>
      <c r="R43" s="150">
        <f>R37-'Фінансовий план КНП'!G93</f>
        <v>0</v>
      </c>
      <c r="S43" s="150">
        <f>S37-'Фінансовий план КНП'!H93</f>
        <v>0</v>
      </c>
      <c r="T43" s="150">
        <f>T37-'Фінансовий план КНП'!I93</f>
        <v>0</v>
      </c>
      <c r="U43" s="150">
        <f>U37-'Фінансовий план КНП'!J93</f>
        <v>0</v>
      </c>
    </row>
    <row r="44" spans="1:21" ht="27" customHeight="1">
      <c r="A44" s="53"/>
      <c r="B44" s="44" t="s">
        <v>361</v>
      </c>
      <c r="C44" s="45"/>
      <c r="D44" s="23">
        <v>9.5</v>
      </c>
      <c r="E44" s="23">
        <v>28.5</v>
      </c>
      <c r="F44" s="23">
        <v>9.5</v>
      </c>
      <c r="G44" s="23">
        <f t="shared" si="3"/>
        <v>28.5</v>
      </c>
      <c r="H44" s="23">
        <v>9.5</v>
      </c>
      <c r="I44" s="23">
        <v>9.5</v>
      </c>
      <c r="J44" s="23"/>
      <c r="K44" s="23">
        <v>9.5</v>
      </c>
      <c r="L44" s="154"/>
      <c r="N44" s="150"/>
      <c r="O44" s="150"/>
      <c r="P44" s="150"/>
      <c r="Q44" s="150"/>
      <c r="R44" s="150"/>
      <c r="S44" s="150"/>
      <c r="T44" s="150"/>
      <c r="U44" s="150"/>
    </row>
    <row r="45" spans="1:21" ht="27" hidden="1" customHeight="1">
      <c r="A45" s="53"/>
      <c r="B45" s="47" t="s">
        <v>337</v>
      </c>
      <c r="C45" s="45"/>
      <c r="D45" s="23"/>
      <c r="E45" s="23">
        <v>0</v>
      </c>
      <c r="F45" s="23">
        <v>0</v>
      </c>
      <c r="G45" s="23">
        <f t="shared" si="3"/>
        <v>0</v>
      </c>
      <c r="H45" s="25"/>
      <c r="I45" s="25"/>
      <c r="J45" s="23"/>
      <c r="K45" s="25"/>
      <c r="L45" s="154"/>
    </row>
    <row r="46" spans="1:21" ht="27" hidden="1" customHeight="1">
      <c r="A46" s="53"/>
      <c r="B46" s="44" t="s">
        <v>338</v>
      </c>
      <c r="C46" s="45"/>
      <c r="D46" s="23"/>
      <c r="E46" s="23">
        <v>0</v>
      </c>
      <c r="F46" s="23">
        <v>0</v>
      </c>
      <c r="G46" s="23">
        <f t="shared" si="3"/>
        <v>0</v>
      </c>
      <c r="H46" s="25"/>
      <c r="I46" s="25"/>
      <c r="J46" s="23"/>
      <c r="K46" s="25"/>
      <c r="L46" s="154"/>
    </row>
    <row r="47" spans="1:21" ht="27" customHeight="1">
      <c r="A47" s="55" t="s">
        <v>185</v>
      </c>
      <c r="B47" s="56" t="s">
        <v>187</v>
      </c>
      <c r="C47" s="229">
        <v>1030</v>
      </c>
      <c r="D47" s="22">
        <f>SUM(D48:D49)</f>
        <v>442.2</v>
      </c>
      <c r="E47" s="22">
        <f>SUM(E48:E49)</f>
        <v>722.6</v>
      </c>
      <c r="F47" s="22">
        <f t="shared" ref="F47" si="14">SUM(F48:F49)</f>
        <v>442.2</v>
      </c>
      <c r="G47" s="22">
        <f t="shared" si="3"/>
        <v>722.59999999999991</v>
      </c>
      <c r="H47" s="22">
        <f t="shared" ref="H47:I47" si="15">SUM(H48:H49)</f>
        <v>153.19999999999999</v>
      </c>
      <c r="I47" s="22">
        <f t="shared" si="15"/>
        <v>153.19999999999999</v>
      </c>
      <c r="J47" s="22">
        <f t="shared" ref="J47:K47" si="16">SUM(J48:J49)</f>
        <v>263</v>
      </c>
      <c r="K47" s="22">
        <f t="shared" si="16"/>
        <v>153.19999999999999</v>
      </c>
      <c r="L47" s="154"/>
    </row>
    <row r="48" spans="1:21" ht="27" customHeight="1">
      <c r="A48" s="80" t="s">
        <v>406</v>
      </c>
      <c r="B48" s="81" t="s">
        <v>1</v>
      </c>
      <c r="C48" s="82">
        <v>1032</v>
      </c>
      <c r="D48" s="54">
        <v>363.5</v>
      </c>
      <c r="E48" s="54">
        <v>595</v>
      </c>
      <c r="F48" s="54">
        <v>363.5</v>
      </c>
      <c r="G48" s="54">
        <f t="shared" si="3"/>
        <v>595</v>
      </c>
      <c r="H48" s="54">
        <v>126.6</v>
      </c>
      <c r="I48" s="54">
        <v>126.6</v>
      </c>
      <c r="J48" s="54">
        <v>215.2</v>
      </c>
      <c r="K48" s="54">
        <v>126.6</v>
      </c>
      <c r="L48" s="154"/>
    </row>
    <row r="49" spans="1:12" ht="27" customHeight="1">
      <c r="A49" s="80" t="s">
        <v>477</v>
      </c>
      <c r="B49" s="81" t="s">
        <v>2</v>
      </c>
      <c r="C49" s="82">
        <v>1033</v>
      </c>
      <c r="D49" s="54">
        <v>78.7</v>
      </c>
      <c r="E49" s="54">
        <v>127.6</v>
      </c>
      <c r="F49" s="54">
        <v>78.7</v>
      </c>
      <c r="G49" s="54">
        <f t="shared" si="3"/>
        <v>127.6</v>
      </c>
      <c r="H49" s="54">
        <v>26.6</v>
      </c>
      <c r="I49" s="54">
        <v>26.6</v>
      </c>
      <c r="J49" s="54">
        <v>47.8</v>
      </c>
      <c r="K49" s="54">
        <v>26.6</v>
      </c>
      <c r="L49" s="154"/>
    </row>
    <row r="50" spans="1:12" ht="25.5" customHeight="1">
      <c r="A50" s="161" t="s">
        <v>188</v>
      </c>
      <c r="B50" s="234" t="s">
        <v>369</v>
      </c>
      <c r="C50" s="155"/>
      <c r="D50" s="9">
        <f>D52+D62</f>
        <v>20384.099999999999</v>
      </c>
      <c r="E50" s="9">
        <f>E52+E62</f>
        <v>15818.5</v>
      </c>
      <c r="F50" s="9">
        <f>F52+F62</f>
        <v>22209.7</v>
      </c>
      <c r="G50" s="9">
        <f>H50+I50+J50+K50</f>
        <v>12526.1</v>
      </c>
      <c r="H50" s="9">
        <f>H52+H62</f>
        <v>5001.5</v>
      </c>
      <c r="I50" s="9">
        <f>I52+I62</f>
        <v>3118.3999999999996</v>
      </c>
      <c r="J50" s="9">
        <f>J52+J62</f>
        <v>1759.2</v>
      </c>
      <c r="K50" s="9">
        <f>K52+K62</f>
        <v>2647</v>
      </c>
      <c r="L50" s="154"/>
    </row>
    <row r="51" spans="1:12" ht="23.25" customHeight="1">
      <c r="A51" s="48"/>
      <c r="B51" s="13" t="s">
        <v>180</v>
      </c>
      <c r="C51" s="45"/>
      <c r="D51" s="23"/>
      <c r="E51" s="23"/>
      <c r="F51" s="23"/>
      <c r="G51" s="23"/>
      <c r="H51" s="23"/>
      <c r="I51" s="23"/>
      <c r="J51" s="23"/>
      <c r="K51" s="23"/>
      <c r="L51" s="154"/>
    </row>
    <row r="52" spans="1:12" ht="23.25" customHeight="1">
      <c r="A52" s="55" t="s">
        <v>370</v>
      </c>
      <c r="B52" s="35" t="s">
        <v>184</v>
      </c>
      <c r="C52" s="229">
        <v>1010</v>
      </c>
      <c r="D52" s="22">
        <f t="shared" ref="D52" si="17">D53+D60+D61</f>
        <v>16206.099999999999</v>
      </c>
      <c r="E52" s="22">
        <f t="shared" ref="E52:K52" si="18">E53+E60+E61</f>
        <v>12686.7</v>
      </c>
      <c r="F52" s="22">
        <f t="shared" si="18"/>
        <v>17881.900000000001</v>
      </c>
      <c r="G52" s="22">
        <f t="shared" si="18"/>
        <v>7391</v>
      </c>
      <c r="H52" s="22">
        <f t="shared" si="18"/>
        <v>2922.4</v>
      </c>
      <c r="I52" s="22">
        <f t="shared" si="18"/>
        <v>2482.6999999999998</v>
      </c>
      <c r="J52" s="22">
        <f t="shared" si="18"/>
        <v>1157</v>
      </c>
      <c r="K52" s="22">
        <f t="shared" si="18"/>
        <v>828.9</v>
      </c>
      <c r="L52" s="154"/>
    </row>
    <row r="53" spans="1:12" ht="23.25" customHeight="1">
      <c r="A53" s="59" t="s">
        <v>407</v>
      </c>
      <c r="B53" s="52" t="s">
        <v>394</v>
      </c>
      <c r="C53" s="51">
        <v>1011</v>
      </c>
      <c r="D53" s="54">
        <f>SUM(D54:D57)</f>
        <v>13007</v>
      </c>
      <c r="E53" s="54">
        <f>SUM(E54:E57)</f>
        <v>8188.5</v>
      </c>
      <c r="F53" s="54">
        <f>SUM(F54:F58)</f>
        <v>11216.900000000001</v>
      </c>
      <c r="G53" s="54">
        <f>SUM(G54:G59)</f>
        <v>4325</v>
      </c>
      <c r="H53" s="54">
        <f>SUM(H54:H59)</f>
        <v>1181.7</v>
      </c>
      <c r="I53" s="54">
        <f t="shared" ref="I53:K53" si="19">SUM(I54:I59)</f>
        <v>1157.4000000000001</v>
      </c>
      <c r="J53" s="54">
        <f t="shared" si="19"/>
        <v>1157</v>
      </c>
      <c r="K53" s="54">
        <f t="shared" si="19"/>
        <v>828.9</v>
      </c>
      <c r="L53" s="154"/>
    </row>
    <row r="54" spans="1:12" ht="23.25" customHeight="1">
      <c r="A54" s="53"/>
      <c r="B54" s="42" t="s">
        <v>269</v>
      </c>
      <c r="C54" s="45"/>
      <c r="D54" s="23">
        <v>19.7</v>
      </c>
      <c r="E54" s="23">
        <v>281.5</v>
      </c>
      <c r="F54" s="23">
        <v>18.600000000000001</v>
      </c>
      <c r="G54" s="23">
        <f>H54+I54+J54+K54</f>
        <v>10.1</v>
      </c>
      <c r="H54" s="23">
        <v>10.1</v>
      </c>
      <c r="I54" s="23"/>
      <c r="J54" s="23"/>
      <c r="K54" s="23"/>
      <c r="L54" s="154"/>
    </row>
    <row r="55" spans="1:12" ht="23.25" customHeight="1">
      <c r="A55" s="53"/>
      <c r="B55" s="42" t="s">
        <v>384</v>
      </c>
      <c r="C55" s="45"/>
      <c r="D55" s="23">
        <v>324.7</v>
      </c>
      <c r="E55" s="23"/>
      <c r="F55" s="23"/>
      <c r="G55" s="23">
        <f t="shared" ref="G55:G90" si="20">H55+I55+J55+K55</f>
        <v>80</v>
      </c>
      <c r="H55" s="23">
        <v>80</v>
      </c>
      <c r="I55" s="23"/>
      <c r="J55" s="23"/>
      <c r="K55" s="23"/>
      <c r="L55" s="154"/>
    </row>
    <row r="56" spans="1:12" ht="42" customHeight="1">
      <c r="A56" s="53"/>
      <c r="B56" s="61" t="s">
        <v>278</v>
      </c>
      <c r="C56" s="45"/>
      <c r="D56" s="23">
        <v>11745.7</v>
      </c>
      <c r="E56" s="23">
        <v>7907</v>
      </c>
      <c r="F56" s="23">
        <f>11306.7-108.5+0.1</f>
        <v>11198.300000000001</v>
      </c>
      <c r="G56" s="23">
        <f>H56+I56+J56+K56</f>
        <v>3303.9</v>
      </c>
      <c r="H56" s="23">
        <v>825</v>
      </c>
      <c r="I56" s="23">
        <v>825</v>
      </c>
      <c r="J56" s="23">
        <v>825</v>
      </c>
      <c r="K56" s="23">
        <v>828.9</v>
      </c>
      <c r="L56" s="154"/>
    </row>
    <row r="57" spans="1:12" ht="23.25" customHeight="1">
      <c r="A57" s="53"/>
      <c r="B57" s="34" t="s">
        <v>324</v>
      </c>
      <c r="C57" s="45"/>
      <c r="D57" s="23">
        <v>916.9</v>
      </c>
      <c r="E57" s="23"/>
      <c r="F57" s="23"/>
      <c r="G57" s="23">
        <f t="shared" si="20"/>
        <v>531</v>
      </c>
      <c r="H57" s="23">
        <f>214+52.6</f>
        <v>266.60000000000002</v>
      </c>
      <c r="I57" s="23">
        <f>947.4-683</f>
        <v>264.39999999999998</v>
      </c>
      <c r="J57" s="23"/>
      <c r="K57" s="23"/>
      <c r="L57" s="154"/>
    </row>
    <row r="58" spans="1:12" ht="23.25" hidden="1" customHeight="1">
      <c r="A58" s="53"/>
      <c r="B58" s="44" t="s">
        <v>355</v>
      </c>
      <c r="C58" s="45"/>
      <c r="D58" s="23"/>
      <c r="E58" s="23"/>
      <c r="F58" s="23">
        <v>0</v>
      </c>
      <c r="G58" s="23">
        <f t="shared" si="20"/>
        <v>0</v>
      </c>
      <c r="H58" s="23"/>
      <c r="I58" s="23"/>
      <c r="J58" s="23"/>
      <c r="K58" s="23"/>
      <c r="L58" s="154"/>
    </row>
    <row r="59" spans="1:12" ht="23.25" customHeight="1">
      <c r="A59" s="53"/>
      <c r="B59" s="44" t="s">
        <v>538</v>
      </c>
      <c r="C59" s="45"/>
      <c r="D59" s="23"/>
      <c r="E59" s="23"/>
      <c r="F59" s="23"/>
      <c r="G59" s="23">
        <f t="shared" si="20"/>
        <v>400</v>
      </c>
      <c r="H59" s="23"/>
      <c r="I59" s="23">
        <v>68</v>
      </c>
      <c r="J59" s="23">
        <v>332</v>
      </c>
      <c r="K59" s="23"/>
      <c r="L59" s="154"/>
    </row>
    <row r="60" spans="1:12" ht="23.25" customHeight="1">
      <c r="A60" s="59" t="s">
        <v>536</v>
      </c>
      <c r="B60" s="81" t="s">
        <v>1</v>
      </c>
      <c r="C60" s="51">
        <v>1012</v>
      </c>
      <c r="D60" s="54">
        <v>2648.3</v>
      </c>
      <c r="E60" s="54">
        <v>3718.7</v>
      </c>
      <c r="F60" s="54">
        <v>5517.9</v>
      </c>
      <c r="G60" s="54">
        <f t="shared" si="20"/>
        <v>2539.8999999999996</v>
      </c>
      <c r="H60" s="54">
        <v>1446.6</v>
      </c>
      <c r="I60" s="54">
        <v>1093.3</v>
      </c>
      <c r="J60" s="54">
        <v>0</v>
      </c>
      <c r="K60" s="54">
        <v>0</v>
      </c>
      <c r="L60" s="154"/>
    </row>
    <row r="61" spans="1:12" ht="23.25" customHeight="1">
      <c r="A61" s="59" t="s">
        <v>537</v>
      </c>
      <c r="B61" s="81" t="s">
        <v>2</v>
      </c>
      <c r="C61" s="51">
        <v>1013</v>
      </c>
      <c r="D61" s="54">
        <v>550.79999999999995</v>
      </c>
      <c r="E61" s="54">
        <v>779.5</v>
      </c>
      <c r="F61" s="54">
        <v>1147.0999999999999</v>
      </c>
      <c r="G61" s="54">
        <f t="shared" si="20"/>
        <v>526.1</v>
      </c>
      <c r="H61" s="54">
        <v>294.10000000000002</v>
      </c>
      <c r="I61" s="54">
        <v>232</v>
      </c>
      <c r="J61" s="54">
        <v>0</v>
      </c>
      <c r="K61" s="54">
        <v>0</v>
      </c>
      <c r="L61" s="154">
        <v>620.29999999999995</v>
      </c>
    </row>
    <row r="62" spans="1:12" ht="23.25" customHeight="1">
      <c r="A62" s="55" t="s">
        <v>371</v>
      </c>
      <c r="B62" s="46" t="s">
        <v>186</v>
      </c>
      <c r="C62" s="229">
        <v>1020</v>
      </c>
      <c r="D62" s="22">
        <f>D63+D69+D70+D71</f>
        <v>4178</v>
      </c>
      <c r="E62" s="22">
        <f>E63+E69+E70+E71</f>
        <v>3131.8</v>
      </c>
      <c r="F62" s="22">
        <f>F63+F69+F70+F71</f>
        <v>4327.8</v>
      </c>
      <c r="G62" s="22">
        <f t="shared" si="20"/>
        <v>5135.1000000000004</v>
      </c>
      <c r="H62" s="22">
        <f>H63+H69+H70+H71</f>
        <v>2079.1</v>
      </c>
      <c r="I62" s="22">
        <f>I63+I69+I70+I71</f>
        <v>635.70000000000005</v>
      </c>
      <c r="J62" s="22">
        <f>J63+J69+J70+J71</f>
        <v>602.20000000000005</v>
      </c>
      <c r="K62" s="22">
        <f>K63+K69+K70+K71</f>
        <v>1818.1</v>
      </c>
      <c r="L62" s="154"/>
    </row>
    <row r="63" spans="1:12" ht="23.25" customHeight="1">
      <c r="A63" s="59" t="s">
        <v>372</v>
      </c>
      <c r="B63" s="52" t="s">
        <v>394</v>
      </c>
      <c r="C63" s="51">
        <v>1021</v>
      </c>
      <c r="D63" s="54">
        <f>SUM(D64:D68)</f>
        <v>624.79999999999995</v>
      </c>
      <c r="E63" s="54"/>
      <c r="F63" s="54"/>
      <c r="G63" s="54">
        <f>H63+I63+J63+K63</f>
        <v>0</v>
      </c>
      <c r="H63" s="54">
        <f>SUM(H64:H68)</f>
        <v>0</v>
      </c>
      <c r="I63" s="54">
        <f>SUM(I64:I68)</f>
        <v>0</v>
      </c>
      <c r="J63" s="54">
        <f>SUM(J64:J68)</f>
        <v>0</v>
      </c>
      <c r="K63" s="54">
        <f>SUM(K64:K68)</f>
        <v>0</v>
      </c>
      <c r="L63" s="154"/>
    </row>
    <row r="64" spans="1:12" ht="23.25" customHeight="1">
      <c r="A64" s="53"/>
      <c r="B64" s="70" t="s">
        <v>434</v>
      </c>
      <c r="C64" s="45"/>
      <c r="D64" s="23">
        <v>159.4</v>
      </c>
      <c r="E64" s="23"/>
      <c r="F64" s="23"/>
      <c r="G64" s="23">
        <f t="shared" si="20"/>
        <v>0</v>
      </c>
      <c r="H64" s="23"/>
      <c r="I64" s="23"/>
      <c r="J64" s="23"/>
      <c r="K64" s="23"/>
      <c r="L64" s="154"/>
    </row>
    <row r="65" spans="1:12" ht="23.25" customHeight="1">
      <c r="A65" s="53"/>
      <c r="B65" s="70" t="s">
        <v>326</v>
      </c>
      <c r="C65" s="45"/>
      <c r="D65" s="23">
        <f>47.9+28.2</f>
        <v>76.099999999999994</v>
      </c>
      <c r="E65" s="23"/>
      <c r="F65" s="23"/>
      <c r="G65" s="23">
        <f t="shared" si="20"/>
        <v>0</v>
      </c>
      <c r="H65" s="23"/>
      <c r="I65" s="23"/>
      <c r="J65" s="23"/>
      <c r="K65" s="23"/>
      <c r="L65" s="154"/>
    </row>
    <row r="66" spans="1:12" ht="23.25" customHeight="1">
      <c r="A66" s="53"/>
      <c r="B66" s="70" t="s">
        <v>327</v>
      </c>
      <c r="C66" s="45"/>
      <c r="D66" s="23">
        <v>260.39999999999998</v>
      </c>
      <c r="E66" s="23"/>
      <c r="F66" s="23"/>
      <c r="G66" s="23">
        <f t="shared" si="20"/>
        <v>0</v>
      </c>
      <c r="H66" s="23"/>
      <c r="I66" s="23"/>
      <c r="J66" s="23"/>
      <c r="K66" s="23"/>
      <c r="L66" s="154"/>
    </row>
    <row r="67" spans="1:12" ht="23.25" customHeight="1">
      <c r="A67" s="53"/>
      <c r="B67" s="70" t="s">
        <v>358</v>
      </c>
      <c r="C67" s="45"/>
      <c r="D67" s="23">
        <v>11.6</v>
      </c>
      <c r="E67" s="23"/>
      <c r="F67" s="23"/>
      <c r="G67" s="23">
        <f t="shared" si="20"/>
        <v>0</v>
      </c>
      <c r="H67" s="23"/>
      <c r="I67" s="23"/>
      <c r="J67" s="23"/>
      <c r="K67" s="23"/>
      <c r="L67" s="154"/>
    </row>
    <row r="68" spans="1:12" ht="23.25" customHeight="1">
      <c r="A68" s="53"/>
      <c r="B68" s="70" t="s">
        <v>357</v>
      </c>
      <c r="C68" s="45"/>
      <c r="D68" s="23">
        <v>117.3</v>
      </c>
      <c r="E68" s="23"/>
      <c r="F68" s="23"/>
      <c r="G68" s="23">
        <f t="shared" si="20"/>
        <v>0</v>
      </c>
      <c r="H68" s="23"/>
      <c r="I68" s="23"/>
      <c r="J68" s="23"/>
      <c r="K68" s="23"/>
      <c r="L68" s="154"/>
    </row>
    <row r="69" spans="1:12" ht="23.25" hidden="1" customHeight="1">
      <c r="A69" s="53"/>
      <c r="B69" s="42" t="s">
        <v>228</v>
      </c>
      <c r="C69" s="45">
        <v>1022</v>
      </c>
      <c r="D69" s="23"/>
      <c r="E69" s="23"/>
      <c r="F69" s="23"/>
      <c r="G69" s="23">
        <f t="shared" si="20"/>
        <v>0</v>
      </c>
      <c r="H69" s="23"/>
      <c r="I69" s="23"/>
      <c r="J69" s="23"/>
      <c r="K69" s="25"/>
      <c r="L69" s="154"/>
    </row>
    <row r="70" spans="1:12" ht="23.25" hidden="1" customHeight="1">
      <c r="A70" s="53"/>
      <c r="B70" s="42" t="s">
        <v>229</v>
      </c>
      <c r="C70" s="45">
        <v>1023</v>
      </c>
      <c r="D70" s="23"/>
      <c r="E70" s="23"/>
      <c r="F70" s="23"/>
      <c r="G70" s="23">
        <f t="shared" si="20"/>
        <v>0</v>
      </c>
      <c r="H70" s="23"/>
      <c r="I70" s="23"/>
      <c r="J70" s="23"/>
      <c r="K70" s="25"/>
      <c r="L70" s="154"/>
    </row>
    <row r="71" spans="1:12" ht="23.25" customHeight="1">
      <c r="A71" s="59" t="s">
        <v>478</v>
      </c>
      <c r="B71" s="52" t="s">
        <v>479</v>
      </c>
      <c r="C71" s="51">
        <v>1025</v>
      </c>
      <c r="D71" s="54">
        <f>SUM(D72:D82)</f>
        <v>3553.2000000000003</v>
      </c>
      <c r="E71" s="54">
        <f>SUM(E72:E82)</f>
        <v>3131.8</v>
      </c>
      <c r="F71" s="54">
        <f t="shared" ref="F71:K71" si="21">SUM(F72:F82)</f>
        <v>4327.8</v>
      </c>
      <c r="G71" s="54">
        <f t="shared" si="20"/>
        <v>5135.1000000000004</v>
      </c>
      <c r="H71" s="54">
        <f t="shared" si="21"/>
        <v>2079.1</v>
      </c>
      <c r="I71" s="54">
        <f t="shared" si="21"/>
        <v>635.70000000000005</v>
      </c>
      <c r="J71" s="54">
        <f t="shared" si="21"/>
        <v>602.20000000000005</v>
      </c>
      <c r="K71" s="54">
        <f t="shared" si="21"/>
        <v>1818.1</v>
      </c>
      <c r="L71" s="154"/>
    </row>
    <row r="72" spans="1:12" ht="42.75" customHeight="1">
      <c r="A72" s="53"/>
      <c r="B72" s="68" t="s">
        <v>246</v>
      </c>
      <c r="C72" s="45"/>
      <c r="D72" s="23">
        <v>244.6</v>
      </c>
      <c r="E72" s="23"/>
      <c r="F72" s="23"/>
      <c r="G72" s="23">
        <f t="shared" si="20"/>
        <v>0</v>
      </c>
      <c r="H72" s="23"/>
      <c r="I72" s="23"/>
      <c r="J72" s="23"/>
      <c r="K72" s="23"/>
      <c r="L72" s="154"/>
    </row>
    <row r="73" spans="1:12" ht="27" customHeight="1">
      <c r="A73" s="53"/>
      <c r="B73" s="68" t="s">
        <v>230</v>
      </c>
      <c r="C73" s="45"/>
      <c r="D73" s="23">
        <v>2.7</v>
      </c>
      <c r="E73" s="23"/>
      <c r="F73" s="23"/>
      <c r="G73" s="23">
        <f t="shared" si="20"/>
        <v>0</v>
      </c>
      <c r="H73" s="23"/>
      <c r="I73" s="23"/>
      <c r="J73" s="25"/>
      <c r="K73" s="25"/>
      <c r="L73" s="154"/>
    </row>
    <row r="74" spans="1:12" ht="27" hidden="1" customHeight="1">
      <c r="A74" s="53"/>
      <c r="B74" s="41" t="s">
        <v>339</v>
      </c>
      <c r="C74" s="45"/>
      <c r="D74" s="23"/>
      <c r="E74" s="23"/>
      <c r="F74" s="23"/>
      <c r="G74" s="23"/>
      <c r="H74" s="23"/>
      <c r="I74" s="23"/>
      <c r="J74" s="25"/>
      <c r="K74" s="25"/>
      <c r="L74" s="154"/>
    </row>
    <row r="75" spans="1:12" ht="42.75" customHeight="1">
      <c r="A75" s="53"/>
      <c r="B75" s="61" t="s">
        <v>435</v>
      </c>
      <c r="C75" s="45"/>
      <c r="D75" s="23">
        <v>1220.5999999999999</v>
      </c>
      <c r="E75" s="23">
        <v>417.6</v>
      </c>
      <c r="F75" s="23">
        <v>64.5</v>
      </c>
      <c r="G75" s="23">
        <f t="shared" si="20"/>
        <v>250</v>
      </c>
      <c r="H75" s="23">
        <v>250</v>
      </c>
      <c r="I75" s="23"/>
      <c r="J75" s="23"/>
      <c r="K75" s="23"/>
      <c r="L75" s="154"/>
    </row>
    <row r="76" spans="1:12" ht="24.75" customHeight="1">
      <c r="A76" s="53"/>
      <c r="B76" s="68" t="s">
        <v>339</v>
      </c>
      <c r="C76" s="45"/>
      <c r="D76" s="23">
        <v>159.19999999999999</v>
      </c>
      <c r="E76" s="23">
        <v>150</v>
      </c>
      <c r="F76" s="23">
        <v>149.69999999999999</v>
      </c>
      <c r="G76" s="23">
        <f t="shared" si="20"/>
        <v>0</v>
      </c>
      <c r="H76" s="23"/>
      <c r="I76" s="23"/>
      <c r="J76" s="23"/>
      <c r="K76" s="23"/>
      <c r="L76" s="154"/>
    </row>
    <row r="77" spans="1:12" ht="24.75" customHeight="1">
      <c r="A77" s="53"/>
      <c r="B77" s="68" t="s">
        <v>386</v>
      </c>
      <c r="C77" s="45"/>
      <c r="D77" s="23"/>
      <c r="E77" s="23">
        <v>300</v>
      </c>
      <c r="F77" s="23">
        <v>222.9</v>
      </c>
      <c r="G77" s="23">
        <f t="shared" si="20"/>
        <v>0</v>
      </c>
      <c r="H77" s="23"/>
      <c r="I77" s="23"/>
      <c r="J77" s="23"/>
      <c r="K77" s="23"/>
      <c r="L77" s="154"/>
    </row>
    <row r="78" spans="1:12" ht="45.75" customHeight="1">
      <c r="A78" s="53"/>
      <c r="B78" s="68" t="s">
        <v>374</v>
      </c>
      <c r="C78" s="45"/>
      <c r="D78" s="23"/>
      <c r="E78" s="23">
        <v>223.5</v>
      </c>
      <c r="F78" s="23">
        <f>61.3+159.2</f>
        <v>220.5</v>
      </c>
      <c r="G78" s="23">
        <f t="shared" si="20"/>
        <v>0</v>
      </c>
      <c r="H78" s="23"/>
      <c r="I78" s="23"/>
      <c r="J78" s="23"/>
      <c r="K78" s="23"/>
      <c r="L78" s="154"/>
    </row>
    <row r="79" spans="1:12" ht="24.75" customHeight="1">
      <c r="A79" s="53"/>
      <c r="B79" s="68" t="s">
        <v>255</v>
      </c>
      <c r="C79" s="45"/>
      <c r="D79" s="23">
        <v>1218.2</v>
      </c>
      <c r="E79" s="23">
        <v>1108.2</v>
      </c>
      <c r="F79" s="23">
        <v>2667.2</v>
      </c>
      <c r="G79" s="23">
        <f t="shared" si="20"/>
        <v>3592.1</v>
      </c>
      <c r="H79" s="23">
        <v>1500</v>
      </c>
      <c r="I79" s="23">
        <v>296</v>
      </c>
      <c r="J79" s="23">
        <v>296.10000000000002</v>
      </c>
      <c r="K79" s="23">
        <v>1500</v>
      </c>
      <c r="L79" s="154"/>
    </row>
    <row r="80" spans="1:12" ht="23.25" customHeight="1">
      <c r="A80" s="53"/>
      <c r="B80" s="68" t="s">
        <v>253</v>
      </c>
      <c r="C80" s="45"/>
      <c r="D80" s="23">
        <v>103.4</v>
      </c>
      <c r="E80" s="23">
        <v>134.9</v>
      </c>
      <c r="F80" s="23">
        <v>134.9</v>
      </c>
      <c r="G80" s="23">
        <f t="shared" si="20"/>
        <v>146.70000000000002</v>
      </c>
      <c r="H80" s="23">
        <v>42.6</v>
      </c>
      <c r="I80" s="23">
        <v>53.2</v>
      </c>
      <c r="J80" s="25">
        <v>19.600000000000001</v>
      </c>
      <c r="K80" s="25">
        <v>31.3</v>
      </c>
      <c r="L80" s="154"/>
    </row>
    <row r="81" spans="1:12" ht="29.25" customHeight="1">
      <c r="A81" s="53"/>
      <c r="B81" s="68" t="s">
        <v>254</v>
      </c>
      <c r="C81" s="45"/>
      <c r="D81" s="23">
        <v>497.2</v>
      </c>
      <c r="E81" s="23">
        <v>692.5</v>
      </c>
      <c r="F81" s="23">
        <v>808</v>
      </c>
      <c r="G81" s="23">
        <f t="shared" si="20"/>
        <v>1055.1000000000001</v>
      </c>
      <c r="H81" s="23">
        <v>263.8</v>
      </c>
      <c r="I81" s="23">
        <v>263.8</v>
      </c>
      <c r="J81" s="25">
        <v>263.8</v>
      </c>
      <c r="K81" s="25">
        <v>263.7</v>
      </c>
      <c r="L81" s="154"/>
    </row>
    <row r="82" spans="1:12" ht="27.75" customHeight="1">
      <c r="A82" s="53"/>
      <c r="B82" s="68" t="s">
        <v>245</v>
      </c>
      <c r="C82" s="45"/>
      <c r="D82" s="23">
        <v>107.3</v>
      </c>
      <c r="E82" s="23">
        <v>105.1</v>
      </c>
      <c r="F82" s="23">
        <v>60.1</v>
      </c>
      <c r="G82" s="23">
        <f t="shared" si="20"/>
        <v>91.199999999999989</v>
      </c>
      <c r="H82" s="23">
        <v>22.7</v>
      </c>
      <c r="I82" s="23">
        <v>22.7</v>
      </c>
      <c r="J82" s="23">
        <v>22.7</v>
      </c>
      <c r="K82" s="23">
        <v>23.1</v>
      </c>
      <c r="L82" s="154"/>
    </row>
    <row r="83" spans="1:12" ht="27" customHeight="1">
      <c r="A83" s="162" t="s">
        <v>199</v>
      </c>
      <c r="B83" s="163" t="s">
        <v>200</v>
      </c>
      <c r="C83" s="86"/>
      <c r="D83" s="9">
        <f>SUM(D85,D91,D107)</f>
        <v>6001</v>
      </c>
      <c r="E83" s="9">
        <f t="shared" ref="E83:K83" si="22">SUM(E85,E91,E107)</f>
        <v>0</v>
      </c>
      <c r="F83" s="9">
        <f t="shared" si="22"/>
        <v>0</v>
      </c>
      <c r="G83" s="9">
        <f t="shared" si="22"/>
        <v>0</v>
      </c>
      <c r="H83" s="9">
        <f t="shared" si="22"/>
        <v>0</v>
      </c>
      <c r="I83" s="9">
        <f t="shared" si="22"/>
        <v>0</v>
      </c>
      <c r="J83" s="9">
        <f t="shared" si="22"/>
        <v>0</v>
      </c>
      <c r="K83" s="9">
        <f t="shared" si="22"/>
        <v>0</v>
      </c>
      <c r="L83" s="154"/>
    </row>
    <row r="84" spans="1:12" ht="24" customHeight="1">
      <c r="A84" s="53"/>
      <c r="B84" s="12" t="s">
        <v>180</v>
      </c>
      <c r="C84" s="45"/>
      <c r="D84" s="23"/>
      <c r="E84" s="23"/>
      <c r="F84" s="23"/>
      <c r="G84" s="23">
        <f t="shared" si="20"/>
        <v>0</v>
      </c>
      <c r="H84" s="23"/>
      <c r="I84" s="23"/>
      <c r="J84" s="25"/>
      <c r="K84" s="25"/>
      <c r="L84" s="154"/>
    </row>
    <row r="85" spans="1:12" ht="27.75" customHeight="1">
      <c r="A85" s="55" t="s">
        <v>201</v>
      </c>
      <c r="B85" s="56" t="s">
        <v>184</v>
      </c>
      <c r="C85" s="229">
        <v>1010</v>
      </c>
      <c r="D85" s="22">
        <f>SUM(D86,D89:D90)</f>
        <v>4559.3999999999996</v>
      </c>
      <c r="E85" s="22">
        <f t="shared" ref="E85:I85" si="23">SUM(E86,E89:E90)</f>
        <v>0</v>
      </c>
      <c r="F85" s="22">
        <f t="shared" si="23"/>
        <v>0</v>
      </c>
      <c r="G85" s="22">
        <f t="shared" si="23"/>
        <v>0</v>
      </c>
      <c r="H85" s="22">
        <f t="shared" si="23"/>
        <v>0</v>
      </c>
      <c r="I85" s="22">
        <f t="shared" si="23"/>
        <v>0</v>
      </c>
      <c r="J85" s="22">
        <f t="shared" ref="J85:K85" si="24">J87+J88</f>
        <v>0</v>
      </c>
      <c r="K85" s="22">
        <f t="shared" si="24"/>
        <v>0</v>
      </c>
      <c r="L85" s="154"/>
    </row>
    <row r="86" spans="1:12" ht="24.75" customHeight="1">
      <c r="A86" s="59" t="s">
        <v>408</v>
      </c>
      <c r="B86" s="52" t="s">
        <v>394</v>
      </c>
      <c r="C86" s="51">
        <v>1011</v>
      </c>
      <c r="D86" s="54">
        <f>D87+D88</f>
        <v>710</v>
      </c>
      <c r="E86" s="54"/>
      <c r="F86" s="54">
        <f t="shared" ref="F86:K86" si="25">F87+F88</f>
        <v>0</v>
      </c>
      <c r="G86" s="54">
        <f t="shared" si="20"/>
        <v>0</v>
      </c>
      <c r="H86" s="54">
        <f t="shared" si="25"/>
        <v>0</v>
      </c>
      <c r="I86" s="54">
        <f t="shared" si="25"/>
        <v>0</v>
      </c>
      <c r="J86" s="54">
        <f t="shared" si="25"/>
        <v>0</v>
      </c>
      <c r="K86" s="54">
        <f t="shared" si="25"/>
        <v>0</v>
      </c>
      <c r="L86" s="154"/>
    </row>
    <row r="87" spans="1:12" ht="26.25" customHeight="1">
      <c r="A87" s="53"/>
      <c r="B87" s="16" t="s">
        <v>270</v>
      </c>
      <c r="C87" s="45"/>
      <c r="D87" s="23">
        <v>560</v>
      </c>
      <c r="E87" s="23"/>
      <c r="F87" s="23"/>
      <c r="G87" s="23">
        <f t="shared" si="20"/>
        <v>0</v>
      </c>
      <c r="H87" s="23"/>
      <c r="I87" s="23"/>
      <c r="J87" s="25"/>
      <c r="K87" s="25"/>
      <c r="L87" s="154"/>
    </row>
    <row r="88" spans="1:12" ht="25.5" customHeight="1">
      <c r="A88" s="53"/>
      <c r="B88" s="42" t="s">
        <v>248</v>
      </c>
      <c r="C88" s="45"/>
      <c r="D88" s="23">
        <v>150</v>
      </c>
      <c r="E88" s="23"/>
      <c r="F88" s="23"/>
      <c r="G88" s="23">
        <f t="shared" si="20"/>
        <v>0</v>
      </c>
      <c r="H88" s="23"/>
      <c r="I88" s="23"/>
      <c r="J88" s="23"/>
      <c r="K88" s="23"/>
      <c r="L88" s="154"/>
    </row>
    <row r="89" spans="1:12" ht="23.25" customHeight="1">
      <c r="A89" s="59" t="s">
        <v>409</v>
      </c>
      <c r="B89" s="81" t="s">
        <v>1</v>
      </c>
      <c r="C89" s="51">
        <v>1012</v>
      </c>
      <c r="D89" s="54">
        <v>3181.2</v>
      </c>
      <c r="E89" s="54"/>
      <c r="F89" s="54"/>
      <c r="G89" s="54">
        <f t="shared" si="20"/>
        <v>0</v>
      </c>
      <c r="H89" s="54"/>
      <c r="I89" s="54"/>
      <c r="J89" s="54"/>
      <c r="K89" s="54"/>
      <c r="L89" s="154"/>
    </row>
    <row r="90" spans="1:12" ht="23.25" customHeight="1">
      <c r="A90" s="59" t="s">
        <v>410</v>
      </c>
      <c r="B90" s="81" t="s">
        <v>2</v>
      </c>
      <c r="C90" s="51">
        <v>1013</v>
      </c>
      <c r="D90" s="54">
        <v>668.2</v>
      </c>
      <c r="E90" s="54"/>
      <c r="F90" s="54"/>
      <c r="G90" s="54">
        <f t="shared" si="20"/>
        <v>0</v>
      </c>
      <c r="H90" s="54"/>
      <c r="I90" s="54"/>
      <c r="J90" s="54"/>
      <c r="K90" s="54"/>
      <c r="L90" s="154"/>
    </row>
    <row r="91" spans="1:12" ht="33" customHeight="1">
      <c r="A91" s="55" t="s">
        <v>202</v>
      </c>
      <c r="B91" s="56" t="s">
        <v>186</v>
      </c>
      <c r="C91" s="229">
        <v>1020</v>
      </c>
      <c r="D91" s="22">
        <f>D92+D94+D95+D96</f>
        <v>1390.6000000000001</v>
      </c>
      <c r="E91" s="22">
        <f>E93+E94+E95+E96</f>
        <v>0</v>
      </c>
      <c r="F91" s="22">
        <f t="shared" ref="F91:K91" si="26">F93+F94+F95+F96</f>
        <v>0</v>
      </c>
      <c r="G91" s="22">
        <f t="shared" si="26"/>
        <v>0</v>
      </c>
      <c r="H91" s="22">
        <f t="shared" si="26"/>
        <v>0</v>
      </c>
      <c r="I91" s="22">
        <f t="shared" si="26"/>
        <v>0</v>
      </c>
      <c r="J91" s="22">
        <f t="shared" si="26"/>
        <v>0</v>
      </c>
      <c r="K91" s="22">
        <f t="shared" si="26"/>
        <v>0</v>
      </c>
      <c r="L91" s="154"/>
    </row>
    <row r="92" spans="1:12" ht="33" customHeight="1">
      <c r="A92" s="59" t="s">
        <v>411</v>
      </c>
      <c r="B92" s="52" t="s">
        <v>394</v>
      </c>
      <c r="C92" s="51">
        <v>1021</v>
      </c>
      <c r="D92" s="54">
        <v>36.299999999999997</v>
      </c>
      <c r="E92" s="23"/>
      <c r="F92" s="23"/>
      <c r="G92" s="23"/>
      <c r="H92" s="23">
        <v>0</v>
      </c>
      <c r="I92" s="23">
        <v>0</v>
      </c>
      <c r="J92" s="25">
        <v>0</v>
      </c>
      <c r="K92" s="25">
        <v>0</v>
      </c>
      <c r="L92" s="154"/>
    </row>
    <row r="93" spans="1:12" ht="27.75" customHeight="1">
      <c r="A93" s="53"/>
      <c r="B93" s="68" t="s">
        <v>271</v>
      </c>
      <c r="C93" s="45"/>
      <c r="D93" s="23">
        <v>36.299999999999997</v>
      </c>
      <c r="E93" s="23"/>
      <c r="F93" s="23"/>
      <c r="G93" s="23">
        <f t="shared" ref="G93:G95" si="27">H93+I93+J93+K93</f>
        <v>0</v>
      </c>
      <c r="H93" s="23"/>
      <c r="I93" s="23"/>
      <c r="J93" s="23"/>
      <c r="K93" s="23"/>
      <c r="L93" s="154"/>
    </row>
    <row r="94" spans="1:12" ht="27.75" customHeight="1">
      <c r="A94" s="59" t="s">
        <v>412</v>
      </c>
      <c r="B94" s="83" t="s">
        <v>1</v>
      </c>
      <c r="C94" s="51">
        <v>1022</v>
      </c>
      <c r="D94" s="54">
        <v>1052.2</v>
      </c>
      <c r="E94" s="54"/>
      <c r="F94" s="54"/>
      <c r="G94" s="54">
        <f t="shared" si="27"/>
        <v>0</v>
      </c>
      <c r="H94" s="54">
        <v>0</v>
      </c>
      <c r="I94" s="54">
        <v>0</v>
      </c>
      <c r="J94" s="54">
        <v>0</v>
      </c>
      <c r="K94" s="54">
        <v>0</v>
      </c>
      <c r="L94" s="154"/>
    </row>
    <row r="95" spans="1:12" ht="25.5" customHeight="1">
      <c r="A95" s="59" t="s">
        <v>413</v>
      </c>
      <c r="B95" s="83" t="s">
        <v>2</v>
      </c>
      <c r="C95" s="51">
        <v>1023</v>
      </c>
      <c r="D95" s="54">
        <v>220.9</v>
      </c>
      <c r="E95" s="67"/>
      <c r="F95" s="54"/>
      <c r="G95" s="54">
        <f t="shared" si="27"/>
        <v>0</v>
      </c>
      <c r="H95" s="54">
        <v>0</v>
      </c>
      <c r="I95" s="54">
        <v>0</v>
      </c>
      <c r="J95" s="54">
        <v>0</v>
      </c>
      <c r="K95" s="54">
        <v>0</v>
      </c>
      <c r="L95" s="154"/>
    </row>
    <row r="96" spans="1:12" ht="33" customHeight="1">
      <c r="A96" s="59" t="s">
        <v>480</v>
      </c>
      <c r="B96" s="52" t="s">
        <v>487</v>
      </c>
      <c r="C96" s="51">
        <v>1025</v>
      </c>
      <c r="D96" s="54">
        <f t="shared" ref="D96:K96" si="28">SUM(D97:D106)</f>
        <v>81.2</v>
      </c>
      <c r="E96" s="54">
        <f t="shared" si="28"/>
        <v>0</v>
      </c>
      <c r="F96" s="54">
        <f t="shared" si="28"/>
        <v>0</v>
      </c>
      <c r="G96" s="54">
        <f t="shared" si="28"/>
        <v>0</v>
      </c>
      <c r="H96" s="54">
        <f t="shared" si="28"/>
        <v>0</v>
      </c>
      <c r="I96" s="54">
        <f t="shared" si="28"/>
        <v>0</v>
      </c>
      <c r="J96" s="54">
        <f t="shared" si="28"/>
        <v>0</v>
      </c>
      <c r="K96" s="54">
        <f t="shared" si="28"/>
        <v>0</v>
      </c>
      <c r="L96" s="154"/>
    </row>
    <row r="97" spans="1:12" ht="27" customHeight="1">
      <c r="A97" s="53"/>
      <c r="B97" s="68" t="s">
        <v>230</v>
      </c>
      <c r="C97" s="45"/>
      <c r="D97" s="23">
        <v>31.7</v>
      </c>
      <c r="E97" s="23"/>
      <c r="F97" s="23"/>
      <c r="G97" s="23">
        <f>H97+I97+J97+K97</f>
        <v>0</v>
      </c>
      <c r="H97" s="23"/>
      <c r="I97" s="23"/>
      <c r="J97" s="23"/>
      <c r="K97" s="23"/>
      <c r="L97" s="154"/>
    </row>
    <row r="98" spans="1:12" ht="27" customHeight="1">
      <c r="A98" s="53"/>
      <c r="B98" s="68" t="s">
        <v>272</v>
      </c>
      <c r="C98" s="45"/>
      <c r="D98" s="23">
        <v>14.4</v>
      </c>
      <c r="E98" s="23"/>
      <c r="F98" s="23"/>
      <c r="G98" s="23">
        <f t="shared" ref="G98:G106" si="29">H98+I98+J98+K98</f>
        <v>0</v>
      </c>
      <c r="H98" s="23"/>
      <c r="I98" s="23"/>
      <c r="J98" s="23"/>
      <c r="K98" s="23"/>
      <c r="L98" s="154"/>
    </row>
    <row r="99" spans="1:12" ht="27" customHeight="1">
      <c r="A99" s="53"/>
      <c r="B99" s="68" t="s">
        <v>231</v>
      </c>
      <c r="C99" s="45"/>
      <c r="D99" s="23">
        <v>0.7</v>
      </c>
      <c r="E99" s="23"/>
      <c r="F99" s="23"/>
      <c r="G99" s="23">
        <f t="shared" si="29"/>
        <v>0</v>
      </c>
      <c r="H99" s="23"/>
      <c r="I99" s="23"/>
      <c r="J99" s="23"/>
      <c r="K99" s="23"/>
      <c r="L99" s="154"/>
    </row>
    <row r="100" spans="1:12" ht="27" customHeight="1">
      <c r="A100" s="53"/>
      <c r="B100" s="68" t="s">
        <v>274</v>
      </c>
      <c r="C100" s="45"/>
      <c r="D100" s="23">
        <v>3.8</v>
      </c>
      <c r="E100" s="23"/>
      <c r="F100" s="23"/>
      <c r="G100" s="23">
        <f t="shared" si="29"/>
        <v>0</v>
      </c>
      <c r="H100" s="23"/>
      <c r="I100" s="23"/>
      <c r="J100" s="23"/>
      <c r="K100" s="23"/>
      <c r="L100" s="154"/>
    </row>
    <row r="101" spans="1:12" ht="27" customHeight="1">
      <c r="A101" s="53"/>
      <c r="B101" s="34" t="s">
        <v>330</v>
      </c>
      <c r="C101" s="45"/>
      <c r="D101" s="23">
        <v>3.5</v>
      </c>
      <c r="E101" s="23"/>
      <c r="F101" s="23"/>
      <c r="G101" s="23">
        <f t="shared" si="29"/>
        <v>0</v>
      </c>
      <c r="H101" s="23"/>
      <c r="I101" s="23"/>
      <c r="J101" s="23"/>
      <c r="K101" s="23"/>
      <c r="L101" s="154"/>
    </row>
    <row r="102" spans="1:12" ht="27" customHeight="1">
      <c r="A102" s="53"/>
      <c r="B102" s="68" t="s">
        <v>329</v>
      </c>
      <c r="C102" s="45"/>
      <c r="D102" s="23">
        <v>5.6</v>
      </c>
      <c r="E102" s="23"/>
      <c r="F102" s="23"/>
      <c r="G102" s="23">
        <f t="shared" si="29"/>
        <v>0</v>
      </c>
      <c r="H102" s="23"/>
      <c r="I102" s="23"/>
      <c r="J102" s="25"/>
      <c r="K102" s="25"/>
      <c r="L102" s="154"/>
    </row>
    <row r="103" spans="1:12" ht="27" customHeight="1">
      <c r="A103" s="53"/>
      <c r="B103" s="68" t="s">
        <v>233</v>
      </c>
      <c r="C103" s="45"/>
      <c r="D103" s="23">
        <v>5.3</v>
      </c>
      <c r="E103" s="23"/>
      <c r="F103" s="23"/>
      <c r="G103" s="23">
        <f t="shared" si="29"/>
        <v>0</v>
      </c>
      <c r="H103" s="23"/>
      <c r="I103" s="23"/>
      <c r="J103" s="23"/>
      <c r="K103" s="23"/>
      <c r="L103" s="154"/>
    </row>
    <row r="104" spans="1:12" ht="27" customHeight="1">
      <c r="A104" s="53"/>
      <c r="B104" s="68" t="s">
        <v>275</v>
      </c>
      <c r="C104" s="45"/>
      <c r="D104" s="23">
        <v>6.2</v>
      </c>
      <c r="E104" s="23"/>
      <c r="F104" s="23"/>
      <c r="G104" s="23">
        <f t="shared" si="29"/>
        <v>0</v>
      </c>
      <c r="H104" s="23"/>
      <c r="I104" s="23"/>
      <c r="J104" s="23"/>
      <c r="K104" s="23"/>
      <c r="L104" s="154"/>
    </row>
    <row r="105" spans="1:12" ht="27" customHeight="1">
      <c r="A105" s="53"/>
      <c r="B105" s="68" t="s">
        <v>277</v>
      </c>
      <c r="C105" s="45"/>
      <c r="D105" s="23">
        <v>0.8</v>
      </c>
      <c r="E105" s="23"/>
      <c r="F105" s="23"/>
      <c r="G105" s="23">
        <f t="shared" si="29"/>
        <v>0</v>
      </c>
      <c r="H105" s="23"/>
      <c r="I105" s="23"/>
      <c r="J105" s="30"/>
      <c r="K105" s="30"/>
      <c r="L105" s="154"/>
    </row>
    <row r="106" spans="1:12" ht="27" customHeight="1">
      <c r="A106" s="53"/>
      <c r="B106" s="16" t="s">
        <v>276</v>
      </c>
      <c r="C106" s="45"/>
      <c r="D106" s="57">
        <v>9.1999999999999993</v>
      </c>
      <c r="E106" s="57"/>
      <c r="F106" s="23"/>
      <c r="G106" s="23">
        <f t="shared" si="29"/>
        <v>0</v>
      </c>
      <c r="H106" s="57"/>
      <c r="I106" s="57"/>
      <c r="J106" s="57"/>
      <c r="K106" s="57"/>
      <c r="L106" s="154"/>
    </row>
    <row r="107" spans="1:12" ht="33.75" customHeight="1">
      <c r="A107" s="55" t="s">
        <v>373</v>
      </c>
      <c r="B107" s="56" t="s">
        <v>187</v>
      </c>
      <c r="C107" s="229">
        <v>1030</v>
      </c>
      <c r="D107" s="22">
        <f>D108+D109+D110</f>
        <v>51</v>
      </c>
      <c r="E107" s="22">
        <f t="shared" ref="E107:K107" si="30">E108+E109</f>
        <v>0</v>
      </c>
      <c r="F107" s="22">
        <f t="shared" si="30"/>
        <v>0</v>
      </c>
      <c r="G107" s="22">
        <f t="shared" si="30"/>
        <v>0</v>
      </c>
      <c r="H107" s="22">
        <f t="shared" si="30"/>
        <v>0</v>
      </c>
      <c r="I107" s="22">
        <f t="shared" si="30"/>
        <v>0</v>
      </c>
      <c r="J107" s="22">
        <f t="shared" si="30"/>
        <v>0</v>
      </c>
      <c r="K107" s="22">
        <f t="shared" si="30"/>
        <v>0</v>
      </c>
      <c r="L107" s="154"/>
    </row>
    <row r="108" spans="1:12" ht="26.25" customHeight="1">
      <c r="A108" s="59" t="s">
        <v>414</v>
      </c>
      <c r="B108" s="81" t="s">
        <v>1</v>
      </c>
      <c r="C108" s="51">
        <v>1032</v>
      </c>
      <c r="D108" s="54">
        <v>22.1</v>
      </c>
      <c r="E108" s="54"/>
      <c r="F108" s="54"/>
      <c r="G108" s="54">
        <f>H108+I108+J108+K108</f>
        <v>0</v>
      </c>
      <c r="H108" s="54"/>
      <c r="I108" s="54"/>
      <c r="J108" s="84"/>
      <c r="K108" s="84"/>
      <c r="L108" s="154"/>
    </row>
    <row r="109" spans="1:12" ht="24.75" customHeight="1">
      <c r="A109" s="59" t="s">
        <v>481</v>
      </c>
      <c r="B109" s="81" t="s">
        <v>2</v>
      </c>
      <c r="C109" s="51">
        <v>1033</v>
      </c>
      <c r="D109" s="54">
        <v>4.4000000000000004</v>
      </c>
      <c r="E109" s="54"/>
      <c r="F109" s="54"/>
      <c r="G109" s="54">
        <f>H109+I109+J109+K109</f>
        <v>0</v>
      </c>
      <c r="H109" s="54"/>
      <c r="I109" s="54"/>
      <c r="J109" s="84"/>
      <c r="K109" s="84"/>
      <c r="L109" s="154"/>
    </row>
    <row r="110" spans="1:12" ht="24.75" customHeight="1">
      <c r="A110" s="59" t="s">
        <v>436</v>
      </c>
      <c r="B110" s="81" t="s">
        <v>437</v>
      </c>
      <c r="C110" s="51">
        <v>1035</v>
      </c>
      <c r="D110" s="54">
        <v>24.5</v>
      </c>
      <c r="E110" s="54">
        <v>0</v>
      </c>
      <c r="F110" s="54">
        <v>0</v>
      </c>
      <c r="G110" s="54">
        <v>0</v>
      </c>
      <c r="H110" s="54"/>
      <c r="I110" s="54"/>
      <c r="J110" s="84"/>
      <c r="K110" s="84"/>
      <c r="L110" s="154"/>
    </row>
    <row r="111" spans="1:12" ht="24.75" customHeight="1">
      <c r="A111" s="162" t="s">
        <v>203</v>
      </c>
      <c r="B111" s="163" t="s">
        <v>416</v>
      </c>
      <c r="C111" s="86"/>
      <c r="D111" s="11"/>
      <c r="E111" s="11"/>
      <c r="F111" s="9">
        <f>F113</f>
        <v>108.5</v>
      </c>
      <c r="G111" s="11"/>
      <c r="H111" s="11"/>
      <c r="I111" s="11"/>
      <c r="J111" s="17"/>
      <c r="K111" s="17"/>
      <c r="L111" s="154" t="s">
        <v>496</v>
      </c>
    </row>
    <row r="112" spans="1:12" ht="28.5" customHeight="1">
      <c r="A112" s="53"/>
      <c r="B112" s="12" t="s">
        <v>180</v>
      </c>
      <c r="C112" s="45"/>
      <c r="D112" s="23"/>
      <c r="E112" s="23"/>
      <c r="F112" s="23"/>
      <c r="G112" s="23"/>
      <c r="H112" s="23"/>
      <c r="I112" s="23"/>
      <c r="J112" s="23"/>
      <c r="K112" s="23"/>
      <c r="L112" s="154"/>
    </row>
    <row r="113" spans="1:12" ht="24.75" customHeight="1">
      <c r="A113" s="55" t="s">
        <v>204</v>
      </c>
      <c r="B113" s="56" t="s">
        <v>184</v>
      </c>
      <c r="C113" s="229">
        <v>1010</v>
      </c>
      <c r="D113" s="22"/>
      <c r="E113" s="22"/>
      <c r="F113" s="22">
        <f>F114</f>
        <v>108.5</v>
      </c>
      <c r="G113" s="22"/>
      <c r="H113" s="22"/>
      <c r="I113" s="22"/>
      <c r="J113" s="85"/>
      <c r="K113" s="85"/>
      <c r="L113" s="154"/>
    </row>
    <row r="114" spans="1:12" ht="24.75" customHeight="1">
      <c r="A114" s="59" t="s">
        <v>415</v>
      </c>
      <c r="B114" s="60" t="s">
        <v>394</v>
      </c>
      <c r="C114" s="51">
        <v>1011</v>
      </c>
      <c r="D114" s="54"/>
      <c r="E114" s="54"/>
      <c r="F114" s="54">
        <v>108.5</v>
      </c>
      <c r="G114" s="54"/>
      <c r="H114" s="54"/>
      <c r="I114" s="54"/>
      <c r="J114" s="84"/>
      <c r="K114" s="84"/>
      <c r="L114" s="154"/>
    </row>
    <row r="115" spans="1:12" ht="30" customHeight="1">
      <c r="A115" s="53"/>
      <c r="B115" s="44" t="s">
        <v>431</v>
      </c>
      <c r="C115" s="45"/>
      <c r="D115" s="22"/>
      <c r="E115" s="23"/>
      <c r="F115" s="23">
        <v>108.5</v>
      </c>
      <c r="G115" s="23"/>
      <c r="H115" s="23"/>
      <c r="I115" s="23"/>
      <c r="J115" s="23"/>
      <c r="K115" s="23"/>
      <c r="L115" s="154"/>
    </row>
    <row r="116" spans="1:12" ht="27.75" customHeight="1">
      <c r="A116" s="162" t="s">
        <v>205</v>
      </c>
      <c r="B116" s="163" t="s">
        <v>343</v>
      </c>
      <c r="C116" s="164"/>
      <c r="D116" s="9">
        <f>D120</f>
        <v>479.4</v>
      </c>
      <c r="E116" s="9">
        <f>E120</f>
        <v>610.79999999999995</v>
      </c>
      <c r="F116" s="9">
        <f>F120+F119</f>
        <v>754.80000000000007</v>
      </c>
      <c r="G116" s="9">
        <f t="shared" ref="G116:K116" si="31">G120</f>
        <v>875.99999999999989</v>
      </c>
      <c r="H116" s="9">
        <f t="shared" si="31"/>
        <v>337.6</v>
      </c>
      <c r="I116" s="9">
        <f t="shared" si="31"/>
        <v>190</v>
      </c>
      <c r="J116" s="9">
        <f t="shared" si="31"/>
        <v>82.600000000000009</v>
      </c>
      <c r="K116" s="9">
        <f t="shared" si="31"/>
        <v>265.79999999999995</v>
      </c>
      <c r="L116" s="154"/>
    </row>
    <row r="117" spans="1:12" ht="27.75" customHeight="1">
      <c r="A117" s="53"/>
      <c r="B117" s="12" t="s">
        <v>180</v>
      </c>
      <c r="C117" s="45"/>
      <c r="D117" s="22"/>
      <c r="E117" s="22"/>
      <c r="F117" s="22"/>
      <c r="G117" s="22"/>
      <c r="H117" s="22"/>
      <c r="I117" s="22"/>
      <c r="J117" s="22"/>
      <c r="K117" s="22"/>
      <c r="L117" s="154"/>
    </row>
    <row r="118" spans="1:12" ht="27.75" hidden="1" customHeight="1">
      <c r="A118" s="53" t="s">
        <v>208</v>
      </c>
      <c r="B118" s="44" t="s">
        <v>184</v>
      </c>
      <c r="C118" s="45">
        <v>1010</v>
      </c>
      <c r="D118" s="107"/>
      <c r="E118" s="107"/>
      <c r="F118" s="107"/>
      <c r="G118" s="107"/>
      <c r="H118" s="107"/>
      <c r="I118" s="107"/>
      <c r="J118" s="107"/>
      <c r="K118" s="107"/>
      <c r="L118" s="154"/>
    </row>
    <row r="119" spans="1:12" ht="27.75" hidden="1" customHeight="1">
      <c r="A119" s="53"/>
      <c r="B119" s="44" t="s">
        <v>184</v>
      </c>
      <c r="C119" s="45">
        <v>1015</v>
      </c>
      <c r="D119" s="22"/>
      <c r="E119" s="22"/>
      <c r="F119" s="23"/>
      <c r="G119" s="23"/>
      <c r="H119" s="23"/>
      <c r="I119" s="23"/>
      <c r="J119" s="23"/>
      <c r="K119" s="23"/>
      <c r="L119" s="154"/>
    </row>
    <row r="120" spans="1:12" ht="27.75" customHeight="1">
      <c r="A120" s="55" t="s">
        <v>208</v>
      </c>
      <c r="B120" s="56" t="s">
        <v>186</v>
      </c>
      <c r="C120" s="229">
        <v>1020</v>
      </c>
      <c r="D120" s="22">
        <f>D121</f>
        <v>479.4</v>
      </c>
      <c r="E120" s="22">
        <f>E121</f>
        <v>610.79999999999995</v>
      </c>
      <c r="F120" s="22">
        <f t="shared" ref="F120:K120" si="32">F121</f>
        <v>754.80000000000007</v>
      </c>
      <c r="G120" s="22">
        <f t="shared" si="32"/>
        <v>875.99999999999989</v>
      </c>
      <c r="H120" s="22">
        <f t="shared" si="32"/>
        <v>337.6</v>
      </c>
      <c r="I120" s="22">
        <f>I121</f>
        <v>190</v>
      </c>
      <c r="J120" s="22">
        <f t="shared" si="32"/>
        <v>82.600000000000009</v>
      </c>
      <c r="K120" s="22">
        <f t="shared" si="32"/>
        <v>265.79999999999995</v>
      </c>
      <c r="L120" s="154"/>
    </row>
    <row r="121" spans="1:12" ht="26.25" customHeight="1">
      <c r="A121" s="59" t="s">
        <v>482</v>
      </c>
      <c r="B121" s="52" t="s">
        <v>479</v>
      </c>
      <c r="C121" s="51">
        <v>1025</v>
      </c>
      <c r="D121" s="54">
        <f t="shared" ref="D121:K121" si="33">SUM(D122:D128)</f>
        <v>479.4</v>
      </c>
      <c r="E121" s="54">
        <f t="shared" si="33"/>
        <v>610.79999999999995</v>
      </c>
      <c r="F121" s="54">
        <f t="shared" si="33"/>
        <v>754.80000000000007</v>
      </c>
      <c r="G121" s="54">
        <f t="shared" si="33"/>
        <v>875.99999999999989</v>
      </c>
      <c r="H121" s="54">
        <f t="shared" si="33"/>
        <v>337.6</v>
      </c>
      <c r="I121" s="54">
        <f t="shared" si="33"/>
        <v>190</v>
      </c>
      <c r="J121" s="54">
        <f t="shared" si="33"/>
        <v>82.600000000000009</v>
      </c>
      <c r="K121" s="54">
        <f t="shared" si="33"/>
        <v>265.79999999999995</v>
      </c>
      <c r="L121" s="154"/>
    </row>
    <row r="122" spans="1:12" ht="27.75" customHeight="1">
      <c r="A122" s="53"/>
      <c r="B122" s="68" t="s">
        <v>251</v>
      </c>
      <c r="C122" s="45"/>
      <c r="D122" s="23">
        <v>282.60000000000002</v>
      </c>
      <c r="E122" s="23">
        <v>418</v>
      </c>
      <c r="F122" s="23">
        <v>505.3</v>
      </c>
      <c r="G122" s="23">
        <f>H122+I122+J122+K122</f>
        <v>645.29999999999995</v>
      </c>
      <c r="H122" s="23">
        <v>272.3</v>
      </c>
      <c r="I122" s="23">
        <v>130.69999999999999</v>
      </c>
      <c r="J122" s="25">
        <v>43.7</v>
      </c>
      <c r="K122" s="25">
        <v>198.6</v>
      </c>
      <c r="L122" s="154"/>
    </row>
    <row r="123" spans="1:12" ht="27.75" customHeight="1">
      <c r="A123" s="53"/>
      <c r="B123" s="68" t="s">
        <v>280</v>
      </c>
      <c r="C123" s="45"/>
      <c r="D123" s="23">
        <v>16.899999999999999</v>
      </c>
      <c r="E123" s="23">
        <v>16.600000000000001</v>
      </c>
      <c r="F123" s="23">
        <v>18.5</v>
      </c>
      <c r="G123" s="23">
        <f t="shared" ref="G123:G130" si="34">H123+I123+J123+K123</f>
        <v>18.5</v>
      </c>
      <c r="H123" s="23">
        <v>4.5</v>
      </c>
      <c r="I123" s="23">
        <v>4.8</v>
      </c>
      <c r="J123" s="25">
        <v>3</v>
      </c>
      <c r="K123" s="25">
        <v>6.2</v>
      </c>
      <c r="L123" s="154"/>
    </row>
    <row r="124" spans="1:12" ht="27.75" customHeight="1">
      <c r="A124" s="53"/>
      <c r="B124" s="74" t="s">
        <v>252</v>
      </c>
      <c r="C124" s="45"/>
      <c r="D124" s="23">
        <v>167.6</v>
      </c>
      <c r="E124" s="23">
        <v>161.4</v>
      </c>
      <c r="F124" s="23">
        <v>197.1</v>
      </c>
      <c r="G124" s="23">
        <f t="shared" si="34"/>
        <v>197.3</v>
      </c>
      <c r="H124" s="23">
        <v>58.3</v>
      </c>
      <c r="I124" s="23">
        <v>52.6</v>
      </c>
      <c r="J124" s="25">
        <v>34.6</v>
      </c>
      <c r="K124" s="25">
        <v>51.8</v>
      </c>
      <c r="L124" s="154"/>
    </row>
    <row r="125" spans="1:12" ht="27.75" customHeight="1">
      <c r="A125" s="53"/>
      <c r="B125" s="44" t="s">
        <v>245</v>
      </c>
      <c r="C125" s="45"/>
      <c r="D125" s="23">
        <v>8.4</v>
      </c>
      <c r="E125" s="23">
        <v>8.8000000000000007</v>
      </c>
      <c r="F125" s="23">
        <v>3.2</v>
      </c>
      <c r="G125" s="23">
        <f t="shared" si="34"/>
        <v>3.3000000000000003</v>
      </c>
      <c r="H125" s="23">
        <v>0.4</v>
      </c>
      <c r="I125" s="23">
        <v>0.8</v>
      </c>
      <c r="J125" s="25">
        <v>0.6</v>
      </c>
      <c r="K125" s="25">
        <v>1.5</v>
      </c>
      <c r="L125" s="154"/>
    </row>
    <row r="126" spans="1:12" ht="27.75" customHeight="1">
      <c r="A126" s="53"/>
      <c r="B126" s="44" t="s">
        <v>328</v>
      </c>
      <c r="C126" s="45"/>
      <c r="D126" s="23">
        <v>3.9</v>
      </c>
      <c r="E126" s="23">
        <v>6</v>
      </c>
      <c r="F126" s="23">
        <v>30.7</v>
      </c>
      <c r="G126" s="23">
        <f t="shared" si="34"/>
        <v>11.600000000000001</v>
      </c>
      <c r="H126" s="23">
        <v>2.1</v>
      </c>
      <c r="I126" s="23">
        <v>1.1000000000000001</v>
      </c>
      <c r="J126" s="25">
        <v>0.7</v>
      </c>
      <c r="K126" s="25">
        <v>7.7</v>
      </c>
      <c r="L126" s="154"/>
    </row>
    <row r="127" spans="1:12" ht="27.75" hidden="1" customHeight="1">
      <c r="A127" s="53"/>
      <c r="B127" s="229" t="s">
        <v>342</v>
      </c>
      <c r="C127" s="45">
        <v>1025</v>
      </c>
      <c r="D127" s="23"/>
      <c r="E127" s="23"/>
      <c r="F127" s="23"/>
      <c r="G127" s="23"/>
      <c r="H127" s="23"/>
      <c r="I127" s="23"/>
      <c r="J127" s="25"/>
      <c r="K127" s="25"/>
      <c r="L127" s="154"/>
    </row>
    <row r="128" spans="1:12" ht="27.75" hidden="1" customHeight="1">
      <c r="A128" s="53"/>
      <c r="B128" s="44" t="s">
        <v>350</v>
      </c>
      <c r="C128" s="45"/>
      <c r="D128" s="23"/>
      <c r="E128" s="23"/>
      <c r="F128" s="23"/>
      <c r="G128" s="23">
        <f t="shared" si="34"/>
        <v>0</v>
      </c>
      <c r="H128" s="23"/>
      <c r="I128" s="23"/>
      <c r="J128" s="25"/>
      <c r="K128" s="25"/>
      <c r="L128" s="154"/>
    </row>
    <row r="129" spans="1:12" ht="27.75" hidden="1" customHeight="1">
      <c r="A129" s="53" t="s">
        <v>209</v>
      </c>
      <c r="B129" s="44" t="s">
        <v>187</v>
      </c>
      <c r="C129" s="45">
        <v>1030</v>
      </c>
      <c r="D129" s="23"/>
      <c r="E129" s="23"/>
      <c r="F129" s="23"/>
      <c r="G129" s="23">
        <f t="shared" si="34"/>
        <v>0</v>
      </c>
      <c r="H129" s="23"/>
      <c r="I129" s="23"/>
      <c r="J129" s="25"/>
      <c r="K129" s="25"/>
      <c r="L129" s="154"/>
    </row>
    <row r="130" spans="1:12" ht="27.75" hidden="1" customHeight="1">
      <c r="A130" s="53"/>
      <c r="B130" s="44"/>
      <c r="C130" s="45"/>
      <c r="D130" s="23"/>
      <c r="E130" s="23"/>
      <c r="F130" s="23"/>
      <c r="G130" s="23">
        <f t="shared" si="34"/>
        <v>0</v>
      </c>
      <c r="H130" s="23"/>
      <c r="I130" s="23"/>
      <c r="J130" s="25"/>
      <c r="K130" s="25"/>
      <c r="L130" s="154"/>
    </row>
    <row r="131" spans="1:12" ht="18" hidden="1" customHeight="1">
      <c r="A131" s="53"/>
      <c r="B131" s="42"/>
      <c r="C131" s="45"/>
      <c r="D131" s="22" t="e">
        <f>D133+#REF!+D170</f>
        <v>#REF!</v>
      </c>
      <c r="E131" s="23"/>
      <c r="F131" s="23"/>
      <c r="G131" s="22"/>
      <c r="H131" s="23"/>
      <c r="I131" s="23"/>
      <c r="J131" s="23"/>
      <c r="K131" s="23"/>
      <c r="L131" s="154"/>
    </row>
    <row r="132" spans="1:12" ht="30.75" hidden="1" customHeight="1">
      <c r="A132" s="53" t="s">
        <v>320</v>
      </c>
      <c r="B132" s="44" t="s">
        <v>186</v>
      </c>
      <c r="C132" s="45"/>
      <c r="D132" s="22"/>
      <c r="E132" s="23"/>
      <c r="F132" s="23"/>
      <c r="G132" s="22"/>
      <c r="H132" s="23"/>
      <c r="I132" s="23"/>
      <c r="J132" s="25"/>
      <c r="K132" s="25"/>
      <c r="L132" s="154"/>
    </row>
    <row r="133" spans="1:12" ht="23.25" hidden="1" customHeight="1">
      <c r="A133" s="53"/>
      <c r="B133" s="44"/>
      <c r="C133" s="45"/>
      <c r="D133" s="23"/>
      <c r="E133" s="23"/>
      <c r="F133" s="23"/>
      <c r="G133" s="22"/>
      <c r="H133" s="23"/>
      <c r="I133" s="23"/>
      <c r="J133" s="25"/>
      <c r="K133" s="25"/>
      <c r="L133" s="154"/>
    </row>
    <row r="134" spans="1:12" ht="26.25" hidden="1" customHeight="1">
      <c r="A134" s="53" t="s">
        <v>321</v>
      </c>
      <c r="B134" s="44" t="s">
        <v>187</v>
      </c>
      <c r="C134" s="45"/>
      <c r="D134" s="23"/>
      <c r="E134" s="23"/>
      <c r="F134" s="23"/>
      <c r="G134" s="22"/>
      <c r="H134" s="23"/>
      <c r="I134" s="23"/>
      <c r="J134" s="25"/>
      <c r="K134" s="25"/>
      <c r="L134" s="154"/>
    </row>
    <row r="135" spans="1:12" ht="26.25" hidden="1" customHeight="1">
      <c r="A135" s="53"/>
      <c r="B135" s="44"/>
      <c r="C135" s="45"/>
      <c r="D135" s="23"/>
      <c r="E135" s="23"/>
      <c r="F135" s="23"/>
      <c r="G135" s="22"/>
      <c r="H135" s="23"/>
      <c r="I135" s="23"/>
      <c r="J135" s="25"/>
      <c r="K135" s="25"/>
      <c r="L135" s="154"/>
    </row>
    <row r="136" spans="1:12" ht="26.25" customHeight="1">
      <c r="A136" s="162" t="s">
        <v>430</v>
      </c>
      <c r="B136" s="163" t="s">
        <v>497</v>
      </c>
      <c r="C136" s="86"/>
      <c r="D136" s="9">
        <f t="shared" ref="D136" si="35">D138</f>
        <v>477.3</v>
      </c>
      <c r="E136" s="9">
        <f t="shared" ref="E136:F136" si="36">E138</f>
        <v>275.10000000000002</v>
      </c>
      <c r="F136" s="9">
        <f t="shared" si="36"/>
        <v>28.9</v>
      </c>
      <c r="G136" s="9">
        <f>H136+I136+J136+K136</f>
        <v>75.899999999999991</v>
      </c>
      <c r="H136" s="9">
        <f>H138</f>
        <v>29.599999999999998</v>
      </c>
      <c r="I136" s="9">
        <f>I138</f>
        <v>18.8</v>
      </c>
      <c r="J136" s="9">
        <f t="shared" ref="J136:K136" si="37">J138</f>
        <v>21.4</v>
      </c>
      <c r="K136" s="9">
        <f t="shared" si="37"/>
        <v>6.1</v>
      </c>
      <c r="L136" s="154"/>
    </row>
    <row r="137" spans="1:12" ht="26.25" customHeight="1">
      <c r="A137" s="53"/>
      <c r="B137" s="12" t="s">
        <v>180</v>
      </c>
      <c r="C137" s="45"/>
      <c r="D137" s="23"/>
      <c r="E137" s="23"/>
      <c r="F137" s="23"/>
      <c r="G137" s="23"/>
      <c r="H137" s="23"/>
      <c r="I137" s="23"/>
      <c r="J137" s="25"/>
      <c r="K137" s="25"/>
      <c r="L137" s="154"/>
    </row>
    <row r="138" spans="1:12" ht="26.25" customHeight="1">
      <c r="A138" s="55" t="s">
        <v>319</v>
      </c>
      <c r="B138" s="56" t="s">
        <v>184</v>
      </c>
      <c r="C138" s="229">
        <v>1010</v>
      </c>
      <c r="D138" s="22">
        <f t="shared" ref="D138" si="38">D139+D142+D143+D144</f>
        <v>477.3</v>
      </c>
      <c r="E138" s="22">
        <f t="shared" ref="E138:F138" si="39">E139+E142+E143+E144</f>
        <v>275.10000000000002</v>
      </c>
      <c r="F138" s="22">
        <f t="shared" si="39"/>
        <v>28.9</v>
      </c>
      <c r="G138" s="22">
        <f>H138+I138+J138+K138</f>
        <v>75.899999999999991</v>
      </c>
      <c r="H138" s="22">
        <f>H139+H142+H143+H144</f>
        <v>29.599999999999998</v>
      </c>
      <c r="I138" s="22">
        <f t="shared" ref="I138:K138" si="40">I139+I142+I143+I144</f>
        <v>18.8</v>
      </c>
      <c r="J138" s="22">
        <f t="shared" si="40"/>
        <v>21.4</v>
      </c>
      <c r="K138" s="22">
        <f t="shared" si="40"/>
        <v>6.1</v>
      </c>
      <c r="L138" s="154"/>
    </row>
    <row r="139" spans="1:12" ht="26.25" customHeight="1">
      <c r="A139" s="59" t="s">
        <v>417</v>
      </c>
      <c r="B139" s="52" t="s">
        <v>394</v>
      </c>
      <c r="C139" s="51">
        <v>1011</v>
      </c>
      <c r="D139" s="54">
        <f t="shared" ref="D139" si="41">D140+D141</f>
        <v>12.6</v>
      </c>
      <c r="E139" s="54">
        <f t="shared" ref="E139:F139" si="42">E140+E141</f>
        <v>23.8</v>
      </c>
      <c r="F139" s="54">
        <f t="shared" si="42"/>
        <v>1</v>
      </c>
      <c r="G139" s="54">
        <f>G140+G141</f>
        <v>22.8</v>
      </c>
      <c r="H139" s="54">
        <f t="shared" ref="H139:K139" si="43">H140+H141</f>
        <v>22.3</v>
      </c>
      <c r="I139" s="54">
        <f t="shared" si="43"/>
        <v>0</v>
      </c>
      <c r="J139" s="54">
        <f t="shared" si="43"/>
        <v>0.5</v>
      </c>
      <c r="K139" s="54">
        <f t="shared" si="43"/>
        <v>0</v>
      </c>
      <c r="L139" s="154"/>
    </row>
    <row r="140" spans="1:12" ht="26.25" customHeight="1">
      <c r="A140" s="53"/>
      <c r="B140" s="34" t="s">
        <v>489</v>
      </c>
      <c r="C140" s="45"/>
      <c r="D140" s="23">
        <v>11.6</v>
      </c>
      <c r="E140" s="23">
        <v>22.8</v>
      </c>
      <c r="F140" s="23">
        <v>1</v>
      </c>
      <c r="G140" s="23">
        <f>H140+I140+J140+K140</f>
        <v>22.8</v>
      </c>
      <c r="H140" s="23">
        <v>22.3</v>
      </c>
      <c r="I140" s="23"/>
      <c r="J140" s="25">
        <v>0.5</v>
      </c>
      <c r="K140" s="25"/>
      <c r="L140" s="154"/>
    </row>
    <row r="141" spans="1:12" ht="26.25" customHeight="1">
      <c r="A141" s="53"/>
      <c r="B141" s="34" t="s">
        <v>248</v>
      </c>
      <c r="C141" s="45"/>
      <c r="D141" s="23">
        <v>1</v>
      </c>
      <c r="E141" s="23">
        <v>1</v>
      </c>
      <c r="F141" s="23"/>
      <c r="G141" s="23">
        <f t="shared" ref="G141:G153" si="44">H141+I141+J141+K141</f>
        <v>0</v>
      </c>
      <c r="H141" s="23"/>
      <c r="I141" s="23"/>
      <c r="J141" s="25"/>
      <c r="K141" s="25"/>
      <c r="L141" s="154"/>
    </row>
    <row r="142" spans="1:12" ht="26.25" customHeight="1">
      <c r="A142" s="59" t="s">
        <v>418</v>
      </c>
      <c r="B142" s="81" t="s">
        <v>1</v>
      </c>
      <c r="C142" s="51">
        <v>1012</v>
      </c>
      <c r="D142" s="54">
        <v>282.8</v>
      </c>
      <c r="E142" s="54">
        <v>105</v>
      </c>
      <c r="F142" s="54">
        <v>19.7</v>
      </c>
      <c r="G142" s="54">
        <f t="shared" si="44"/>
        <v>19.899999999999999</v>
      </c>
      <c r="H142" s="54">
        <v>6.1</v>
      </c>
      <c r="I142" s="54">
        <v>3.5</v>
      </c>
      <c r="J142" s="84">
        <v>5.3</v>
      </c>
      <c r="K142" s="84">
        <v>5</v>
      </c>
      <c r="L142" s="154"/>
    </row>
    <row r="143" spans="1:12" ht="26.25" customHeight="1">
      <c r="A143" s="59" t="s">
        <v>419</v>
      </c>
      <c r="B143" s="81" t="s">
        <v>2</v>
      </c>
      <c r="C143" s="51">
        <v>1013</v>
      </c>
      <c r="D143" s="98">
        <v>58.9</v>
      </c>
      <c r="E143" s="98">
        <v>22.1</v>
      </c>
      <c r="F143" s="98">
        <v>4.0999999999999996</v>
      </c>
      <c r="G143" s="54">
        <f t="shared" si="44"/>
        <v>4.2</v>
      </c>
      <c r="H143" s="98">
        <v>1.2</v>
      </c>
      <c r="I143" s="98">
        <v>0.8</v>
      </c>
      <c r="J143" s="98">
        <v>1.1000000000000001</v>
      </c>
      <c r="K143" s="98">
        <v>1.1000000000000001</v>
      </c>
      <c r="L143" s="154"/>
    </row>
    <row r="144" spans="1:12" ht="26.25" customHeight="1">
      <c r="A144" s="59" t="s">
        <v>483</v>
      </c>
      <c r="B144" s="52" t="s">
        <v>488</v>
      </c>
      <c r="C144" s="51">
        <v>1015</v>
      </c>
      <c r="D144" s="54">
        <f>SUM(D145:D153)</f>
        <v>123.00000000000001</v>
      </c>
      <c r="E144" s="54">
        <f>SUM(E145:E153)</f>
        <v>124.2</v>
      </c>
      <c r="F144" s="54">
        <f>SUM(F145:F153)</f>
        <v>4.1000000000000005</v>
      </c>
      <c r="G144" s="54">
        <f t="shared" si="44"/>
        <v>29</v>
      </c>
      <c r="H144" s="54">
        <f>SUM(H145:H153)</f>
        <v>0</v>
      </c>
      <c r="I144" s="54">
        <f>SUM(I145:I153)</f>
        <v>14.5</v>
      </c>
      <c r="J144" s="54">
        <f t="shared" ref="J144:K144" si="45">SUM(J145:J153)</f>
        <v>14.5</v>
      </c>
      <c r="K144" s="54">
        <f t="shared" si="45"/>
        <v>0</v>
      </c>
      <c r="L144" s="154"/>
    </row>
    <row r="145" spans="1:12" ht="26.25" customHeight="1">
      <c r="A145" s="53"/>
      <c r="B145" s="73" t="s">
        <v>230</v>
      </c>
      <c r="C145" s="7"/>
      <c r="D145" s="57">
        <v>66.400000000000006</v>
      </c>
      <c r="E145" s="57">
        <v>66.400000000000006</v>
      </c>
      <c r="F145" s="23"/>
      <c r="G145" s="23">
        <f t="shared" si="44"/>
        <v>29</v>
      </c>
      <c r="H145" s="57"/>
      <c r="I145" s="57">
        <v>14.5</v>
      </c>
      <c r="J145" s="57">
        <v>14.5</v>
      </c>
      <c r="K145" s="57"/>
      <c r="L145" s="154"/>
    </row>
    <row r="146" spans="1:12" ht="26.25" customHeight="1">
      <c r="A146" s="53"/>
      <c r="B146" s="73" t="s">
        <v>387</v>
      </c>
      <c r="C146" s="7"/>
      <c r="D146" s="57"/>
      <c r="E146" s="57"/>
      <c r="F146" s="23"/>
      <c r="G146" s="23"/>
      <c r="H146" s="57"/>
      <c r="I146" s="57"/>
      <c r="J146" s="57"/>
      <c r="K146" s="57"/>
      <c r="L146" s="154"/>
    </row>
    <row r="147" spans="1:12" ht="26.25" customHeight="1">
      <c r="A147" s="53"/>
      <c r="B147" s="73" t="s">
        <v>274</v>
      </c>
      <c r="C147" s="7"/>
      <c r="D147" s="57">
        <v>3.6</v>
      </c>
      <c r="E147" s="23">
        <v>3.6</v>
      </c>
      <c r="F147" s="23">
        <v>0.6</v>
      </c>
      <c r="G147" s="23">
        <f t="shared" si="44"/>
        <v>0</v>
      </c>
      <c r="H147" s="23"/>
      <c r="I147" s="23"/>
      <c r="J147" s="25"/>
      <c r="K147" s="25"/>
      <c r="L147" s="154"/>
    </row>
    <row r="148" spans="1:12" ht="26.25" customHeight="1">
      <c r="A148" s="53"/>
      <c r="B148" s="73" t="s">
        <v>273</v>
      </c>
      <c r="C148" s="7"/>
      <c r="D148" s="23">
        <v>1.7</v>
      </c>
      <c r="E148" s="23">
        <v>1.7</v>
      </c>
      <c r="F148" s="23"/>
      <c r="G148" s="23">
        <f t="shared" si="44"/>
        <v>0</v>
      </c>
      <c r="H148" s="23"/>
      <c r="I148" s="23"/>
      <c r="J148" s="25"/>
      <c r="K148" s="25"/>
      <c r="L148" s="154"/>
    </row>
    <row r="149" spans="1:12" ht="26.25" customHeight="1">
      <c r="A149" s="53"/>
      <c r="B149" s="73" t="s">
        <v>232</v>
      </c>
      <c r="C149" s="7"/>
      <c r="D149" s="23">
        <v>4.3</v>
      </c>
      <c r="E149" s="23">
        <v>4.3</v>
      </c>
      <c r="F149" s="23">
        <v>0.6</v>
      </c>
      <c r="G149" s="23">
        <f t="shared" si="44"/>
        <v>0</v>
      </c>
      <c r="H149" s="23"/>
      <c r="I149" s="23"/>
      <c r="J149" s="25"/>
      <c r="K149" s="25"/>
      <c r="L149" s="154"/>
    </row>
    <row r="150" spans="1:12" ht="26.25" customHeight="1">
      <c r="A150" s="53"/>
      <c r="B150" s="73" t="s">
        <v>233</v>
      </c>
      <c r="C150" s="7"/>
      <c r="D150" s="23">
        <v>2.2000000000000002</v>
      </c>
      <c r="E150" s="23">
        <v>2.2000000000000002</v>
      </c>
      <c r="F150" s="23">
        <v>2.2000000000000002</v>
      </c>
      <c r="G150" s="23">
        <f t="shared" si="44"/>
        <v>0</v>
      </c>
      <c r="H150" s="23"/>
      <c r="I150" s="23"/>
      <c r="J150" s="25"/>
      <c r="K150" s="25"/>
      <c r="L150" s="154"/>
    </row>
    <row r="151" spans="1:12" ht="26.25" customHeight="1">
      <c r="A151" s="53"/>
      <c r="B151" s="73" t="s">
        <v>275</v>
      </c>
      <c r="C151" s="7"/>
      <c r="D151" s="23">
        <v>7.2</v>
      </c>
      <c r="E151" s="23">
        <v>7.2</v>
      </c>
      <c r="F151" s="23">
        <v>0.7</v>
      </c>
      <c r="G151" s="23">
        <f t="shared" si="44"/>
        <v>0</v>
      </c>
      <c r="H151" s="23"/>
      <c r="I151" s="23"/>
      <c r="J151" s="25"/>
      <c r="K151" s="25"/>
      <c r="L151" s="154"/>
    </row>
    <row r="152" spans="1:12" ht="26.25" customHeight="1">
      <c r="A152" s="53"/>
      <c r="B152" s="73" t="s">
        <v>325</v>
      </c>
      <c r="C152" s="7"/>
      <c r="D152" s="23">
        <v>9.9</v>
      </c>
      <c r="E152" s="23">
        <v>11.1</v>
      </c>
      <c r="F152" s="23"/>
      <c r="G152" s="23">
        <f t="shared" si="44"/>
        <v>0</v>
      </c>
      <c r="H152" s="23"/>
      <c r="I152" s="23"/>
      <c r="J152" s="25"/>
      <c r="K152" s="25"/>
      <c r="L152" s="154"/>
    </row>
    <row r="153" spans="1:12" ht="26.25" customHeight="1">
      <c r="A153" s="53"/>
      <c r="B153" s="73" t="s">
        <v>234</v>
      </c>
      <c r="C153" s="7"/>
      <c r="D153" s="23">
        <v>27.7</v>
      </c>
      <c r="E153" s="23">
        <v>27.7</v>
      </c>
      <c r="F153" s="23"/>
      <c r="G153" s="23">
        <f t="shared" si="44"/>
        <v>0</v>
      </c>
      <c r="H153" s="23"/>
      <c r="I153" s="23"/>
      <c r="J153" s="25"/>
      <c r="K153" s="25"/>
      <c r="L153" s="154"/>
    </row>
    <row r="154" spans="1:12" ht="26.25" hidden="1" customHeight="1">
      <c r="A154" s="53"/>
      <c r="B154" s="44"/>
      <c r="C154" s="45"/>
      <c r="D154" s="23"/>
      <c r="E154" s="23"/>
      <c r="F154" s="23"/>
      <c r="G154" s="22"/>
      <c r="H154" s="23"/>
      <c r="I154" s="23"/>
      <c r="J154" s="25"/>
      <c r="K154" s="25"/>
      <c r="L154" s="154"/>
    </row>
    <row r="155" spans="1:12" ht="42" customHeight="1">
      <c r="A155" s="162" t="s">
        <v>420</v>
      </c>
      <c r="B155" s="165" t="s">
        <v>527</v>
      </c>
      <c r="C155" s="86"/>
      <c r="D155" s="9">
        <f t="shared" ref="D155:K155" si="46">D157+D163+D183</f>
        <v>1177.3</v>
      </c>
      <c r="E155" s="9">
        <f t="shared" si="46"/>
        <v>694.2</v>
      </c>
      <c r="F155" s="9">
        <f t="shared" si="46"/>
        <v>1434.3</v>
      </c>
      <c r="G155" s="9">
        <f t="shared" si="46"/>
        <v>882.80000000000007</v>
      </c>
      <c r="H155" s="9">
        <f t="shared" si="46"/>
        <v>204.60000000000002</v>
      </c>
      <c r="I155" s="9">
        <f t="shared" si="46"/>
        <v>218.10000000000002</v>
      </c>
      <c r="J155" s="9">
        <f t="shared" si="46"/>
        <v>245.39999999999998</v>
      </c>
      <c r="K155" s="9">
        <f t="shared" si="46"/>
        <v>214.7</v>
      </c>
      <c r="L155" s="154"/>
    </row>
    <row r="156" spans="1:12" ht="33" customHeight="1">
      <c r="A156" s="53"/>
      <c r="B156" s="12" t="s">
        <v>180</v>
      </c>
      <c r="C156" s="45"/>
      <c r="D156" s="23"/>
      <c r="E156" s="23"/>
      <c r="F156" s="23"/>
      <c r="G156" s="23"/>
      <c r="H156" s="23"/>
      <c r="I156" s="23"/>
      <c r="J156" s="23"/>
      <c r="K156" s="25"/>
      <c r="L156" s="154"/>
    </row>
    <row r="157" spans="1:12" ht="33" customHeight="1">
      <c r="A157" s="55" t="s">
        <v>344</v>
      </c>
      <c r="B157" s="56" t="s">
        <v>184</v>
      </c>
      <c r="C157" s="229">
        <v>1010</v>
      </c>
      <c r="D157" s="22">
        <f>D158+D160+D161</f>
        <v>845.9</v>
      </c>
      <c r="E157" s="22">
        <f>E158+E160+E161</f>
        <v>687.7</v>
      </c>
      <c r="F157" s="22">
        <f t="shared" ref="F157:K157" si="47">F158+F160+F161</f>
        <v>877.2</v>
      </c>
      <c r="G157" s="22">
        <f>G158+G160+G161</f>
        <v>882.80000000000007</v>
      </c>
      <c r="H157" s="22">
        <f>H158+H160+H161</f>
        <v>204.60000000000002</v>
      </c>
      <c r="I157" s="22">
        <f t="shared" si="47"/>
        <v>218.10000000000002</v>
      </c>
      <c r="J157" s="22">
        <f t="shared" si="47"/>
        <v>245.39999999999998</v>
      </c>
      <c r="K157" s="22">
        <f t="shared" si="47"/>
        <v>214.7</v>
      </c>
      <c r="L157" s="154"/>
    </row>
    <row r="158" spans="1:12" ht="25.5" customHeight="1">
      <c r="A158" s="59" t="s">
        <v>421</v>
      </c>
      <c r="B158" s="52" t="s">
        <v>394</v>
      </c>
      <c r="C158" s="51">
        <v>1011</v>
      </c>
      <c r="D158" s="54">
        <f>D159</f>
        <v>142.19999999999999</v>
      </c>
      <c r="E158" s="54">
        <f>E159</f>
        <v>24.2</v>
      </c>
      <c r="F158" s="54">
        <f t="shared" ref="F158:K158" si="48">F159</f>
        <v>8.6</v>
      </c>
      <c r="G158" s="54">
        <f>G159</f>
        <v>0</v>
      </c>
      <c r="H158" s="54">
        <f t="shared" si="48"/>
        <v>0</v>
      </c>
      <c r="I158" s="54">
        <f t="shared" si="48"/>
        <v>0</v>
      </c>
      <c r="J158" s="54">
        <f t="shared" si="48"/>
        <v>0</v>
      </c>
      <c r="K158" s="54">
        <f t="shared" si="48"/>
        <v>0</v>
      </c>
      <c r="L158" s="154"/>
    </row>
    <row r="159" spans="1:12" ht="26.25" customHeight="1">
      <c r="A159" s="53"/>
      <c r="B159" s="34" t="s">
        <v>489</v>
      </c>
      <c r="C159" s="45"/>
      <c r="D159" s="23">
        <v>142.19999999999999</v>
      </c>
      <c r="E159" s="23">
        <v>24.2</v>
      </c>
      <c r="F159" s="23">
        <v>8.6</v>
      </c>
      <c r="G159" s="23">
        <f>H159+I159+J159+K159</f>
        <v>0</v>
      </c>
      <c r="H159" s="23"/>
      <c r="I159" s="23"/>
      <c r="J159" s="23"/>
      <c r="K159" s="23"/>
      <c r="L159" s="154"/>
    </row>
    <row r="160" spans="1:12" ht="26.25" customHeight="1">
      <c r="A160" s="59" t="s">
        <v>422</v>
      </c>
      <c r="B160" s="81" t="s">
        <v>1</v>
      </c>
      <c r="C160" s="51">
        <v>1012</v>
      </c>
      <c r="D160" s="54">
        <v>571.1</v>
      </c>
      <c r="E160" s="54">
        <v>537.4</v>
      </c>
      <c r="F160" s="54">
        <v>720.6</v>
      </c>
      <c r="G160" s="54">
        <f t="shared" ref="G160:G163" si="49">H160+I160+J160+K160</f>
        <v>720.7</v>
      </c>
      <c r="H160" s="54">
        <v>166.8</v>
      </c>
      <c r="I160" s="54">
        <v>179.4</v>
      </c>
      <c r="J160" s="54">
        <v>199.6</v>
      </c>
      <c r="K160" s="84">
        <v>174.9</v>
      </c>
      <c r="L160" s="154"/>
    </row>
    <row r="161" spans="1:12" ht="24" customHeight="1">
      <c r="A161" s="59" t="s">
        <v>423</v>
      </c>
      <c r="B161" s="81" t="s">
        <v>2</v>
      </c>
      <c r="C161" s="51">
        <v>1013</v>
      </c>
      <c r="D161" s="54">
        <v>132.6</v>
      </c>
      <c r="E161" s="54">
        <v>126.1</v>
      </c>
      <c r="F161" s="54">
        <v>148</v>
      </c>
      <c r="G161" s="54">
        <f t="shared" si="49"/>
        <v>162.1</v>
      </c>
      <c r="H161" s="54">
        <v>37.799999999999997</v>
      </c>
      <c r="I161" s="54">
        <v>38.700000000000003</v>
      </c>
      <c r="J161" s="54">
        <v>45.8</v>
      </c>
      <c r="K161" s="84">
        <v>39.799999999999997</v>
      </c>
      <c r="L161" s="154"/>
    </row>
    <row r="162" spans="1:12" ht="28.5" hidden="1" customHeight="1">
      <c r="A162" s="53"/>
      <c r="B162" s="44"/>
      <c r="C162" s="45"/>
      <c r="D162" s="23"/>
      <c r="E162" s="23"/>
      <c r="F162" s="23"/>
      <c r="G162" s="23">
        <f t="shared" si="49"/>
        <v>0</v>
      </c>
      <c r="H162" s="23"/>
      <c r="I162" s="23"/>
      <c r="J162" s="23"/>
      <c r="K162" s="25"/>
      <c r="L162" s="154"/>
    </row>
    <row r="163" spans="1:12" ht="33" customHeight="1">
      <c r="A163" s="55" t="s">
        <v>345</v>
      </c>
      <c r="B163" s="56" t="s">
        <v>186</v>
      </c>
      <c r="C163" s="229">
        <v>1020</v>
      </c>
      <c r="D163" s="22">
        <f>D164+D172</f>
        <v>331.4</v>
      </c>
      <c r="E163" s="22">
        <f>E164+E172</f>
        <v>6.5</v>
      </c>
      <c r="F163" s="22">
        <f>F164+F172</f>
        <v>557.09999999999991</v>
      </c>
      <c r="G163" s="22">
        <f t="shared" si="49"/>
        <v>0</v>
      </c>
      <c r="H163" s="22">
        <f>H164+H172</f>
        <v>0</v>
      </c>
      <c r="I163" s="22">
        <f>I164+I172</f>
        <v>0</v>
      </c>
      <c r="J163" s="22">
        <f>J164+J172</f>
        <v>0</v>
      </c>
      <c r="K163" s="22">
        <f>K164+K172</f>
        <v>0</v>
      </c>
      <c r="L163" s="154"/>
    </row>
    <row r="164" spans="1:12" ht="27.75" customHeight="1">
      <c r="A164" s="49" t="s">
        <v>424</v>
      </c>
      <c r="B164" s="52" t="s">
        <v>486</v>
      </c>
      <c r="C164" s="51">
        <v>1021</v>
      </c>
      <c r="D164" s="54">
        <f t="shared" ref="D164:K164" si="50">SUM(D165:D171)</f>
        <v>79.7</v>
      </c>
      <c r="E164" s="54">
        <f t="shared" si="50"/>
        <v>6.5</v>
      </c>
      <c r="F164" s="54">
        <f t="shared" si="50"/>
        <v>170.5</v>
      </c>
      <c r="G164" s="54">
        <f t="shared" si="50"/>
        <v>0</v>
      </c>
      <c r="H164" s="54">
        <f t="shared" si="50"/>
        <v>0</v>
      </c>
      <c r="I164" s="54">
        <f t="shared" si="50"/>
        <v>0</v>
      </c>
      <c r="J164" s="54">
        <f t="shared" si="50"/>
        <v>0</v>
      </c>
      <c r="K164" s="54">
        <f t="shared" si="50"/>
        <v>0</v>
      </c>
      <c r="L164" s="154"/>
    </row>
    <row r="165" spans="1:12" ht="25.5" customHeight="1">
      <c r="A165" s="53"/>
      <c r="B165" s="74" t="s">
        <v>235</v>
      </c>
      <c r="C165" s="45"/>
      <c r="D165" s="23">
        <v>16.100000000000001</v>
      </c>
      <c r="E165" s="23"/>
      <c r="F165" s="23"/>
      <c r="G165" s="23">
        <f t="shared" ref="G165:G182" si="51">H165+I165+J165+K165</f>
        <v>0</v>
      </c>
      <c r="H165" s="23"/>
      <c r="I165" s="23"/>
      <c r="J165" s="23"/>
      <c r="K165" s="23"/>
      <c r="L165" s="154"/>
    </row>
    <row r="166" spans="1:12" ht="24" customHeight="1">
      <c r="A166" s="53"/>
      <c r="B166" s="74" t="s">
        <v>239</v>
      </c>
      <c r="C166" s="45"/>
      <c r="D166" s="23">
        <v>30.4</v>
      </c>
      <c r="E166" s="23"/>
      <c r="F166" s="23"/>
      <c r="G166" s="23">
        <f t="shared" si="51"/>
        <v>0</v>
      </c>
      <c r="H166" s="23"/>
      <c r="I166" s="23"/>
      <c r="J166" s="23"/>
      <c r="K166" s="23"/>
      <c r="L166" s="154"/>
    </row>
    <row r="167" spans="1:12" ht="25.5" customHeight="1">
      <c r="A167" s="53"/>
      <c r="B167" s="74" t="s">
        <v>236</v>
      </c>
      <c r="C167" s="45"/>
      <c r="D167" s="23">
        <v>8.6999999999999993</v>
      </c>
      <c r="E167" s="23"/>
      <c r="F167" s="23"/>
      <c r="G167" s="23">
        <f t="shared" si="51"/>
        <v>0</v>
      </c>
      <c r="H167" s="23"/>
      <c r="I167" s="23"/>
      <c r="J167" s="25"/>
      <c r="K167" s="25"/>
      <c r="L167" s="154"/>
    </row>
    <row r="168" spans="1:12" ht="26.25" customHeight="1">
      <c r="A168" s="53"/>
      <c r="B168" s="74" t="s">
        <v>268</v>
      </c>
      <c r="C168" s="45"/>
      <c r="D168" s="23">
        <v>5</v>
      </c>
      <c r="E168" s="23">
        <v>5</v>
      </c>
      <c r="F168" s="23"/>
      <c r="G168" s="23">
        <f t="shared" si="51"/>
        <v>0</v>
      </c>
      <c r="H168" s="23"/>
      <c r="I168" s="23"/>
      <c r="J168" s="25"/>
      <c r="K168" s="25"/>
      <c r="L168" s="154"/>
    </row>
    <row r="169" spans="1:12" ht="24.75" customHeight="1">
      <c r="A169" s="53"/>
      <c r="B169" s="44" t="s">
        <v>338</v>
      </c>
      <c r="C169" s="45"/>
      <c r="D169" s="23">
        <v>0</v>
      </c>
      <c r="E169" s="23"/>
      <c r="F169" s="23">
        <v>170.5</v>
      </c>
      <c r="G169" s="23"/>
      <c r="H169" s="23"/>
      <c r="I169" s="23"/>
      <c r="J169" s="25"/>
      <c r="K169" s="25"/>
      <c r="L169" s="154"/>
    </row>
    <row r="170" spans="1:12" ht="25.5" customHeight="1">
      <c r="A170" s="53"/>
      <c r="B170" s="74" t="s">
        <v>240</v>
      </c>
      <c r="C170" s="45"/>
      <c r="D170" s="23">
        <v>18</v>
      </c>
      <c r="E170" s="23"/>
      <c r="F170" s="23"/>
      <c r="G170" s="23">
        <f t="shared" si="51"/>
        <v>0</v>
      </c>
      <c r="H170" s="23"/>
      <c r="I170" s="23"/>
      <c r="J170" s="23"/>
      <c r="K170" s="23"/>
      <c r="L170" s="154"/>
    </row>
    <row r="171" spans="1:12" ht="24.75" customHeight="1">
      <c r="A171" s="53"/>
      <c r="B171" s="74" t="s">
        <v>241</v>
      </c>
      <c r="C171" s="45"/>
      <c r="D171" s="23">
        <v>1.5</v>
      </c>
      <c r="E171" s="23">
        <v>1.5</v>
      </c>
      <c r="F171" s="23"/>
      <c r="G171" s="23">
        <f t="shared" si="51"/>
        <v>0</v>
      </c>
      <c r="H171" s="23"/>
      <c r="I171" s="23"/>
      <c r="J171" s="25"/>
      <c r="K171" s="25"/>
      <c r="L171" s="154"/>
    </row>
    <row r="172" spans="1:12" ht="30.75" customHeight="1">
      <c r="A172" s="59" t="s">
        <v>484</v>
      </c>
      <c r="B172" s="52" t="s">
        <v>487</v>
      </c>
      <c r="C172" s="51">
        <v>1025</v>
      </c>
      <c r="D172" s="54">
        <f>SUM(D173:D182)</f>
        <v>251.7</v>
      </c>
      <c r="E172" s="54">
        <f>SUM(E173:E182)</f>
        <v>0</v>
      </c>
      <c r="F172" s="54">
        <f t="shared" ref="F172:K172" si="52">SUM(F173:F182)</f>
        <v>386.59999999999997</v>
      </c>
      <c r="G172" s="54">
        <f t="shared" si="52"/>
        <v>0</v>
      </c>
      <c r="H172" s="54">
        <f t="shared" si="52"/>
        <v>0</v>
      </c>
      <c r="I172" s="54">
        <f t="shared" si="52"/>
        <v>0</v>
      </c>
      <c r="J172" s="54">
        <f t="shared" si="52"/>
        <v>0</v>
      </c>
      <c r="K172" s="54">
        <f t="shared" si="52"/>
        <v>0</v>
      </c>
      <c r="L172" s="154"/>
    </row>
    <row r="173" spans="1:12" ht="24" customHeight="1">
      <c r="A173" s="53"/>
      <c r="B173" s="74" t="s">
        <v>237</v>
      </c>
      <c r="C173" s="45"/>
      <c r="D173" s="23">
        <v>56</v>
      </c>
      <c r="E173" s="23"/>
      <c r="F173" s="23"/>
      <c r="G173" s="23">
        <f t="shared" si="51"/>
        <v>0</v>
      </c>
      <c r="H173" s="23"/>
      <c r="I173" s="23"/>
      <c r="J173" s="25"/>
      <c r="K173" s="25"/>
      <c r="L173" s="154"/>
    </row>
    <row r="174" spans="1:12" ht="24" customHeight="1">
      <c r="A174" s="53"/>
      <c r="B174" s="74" t="s">
        <v>438</v>
      </c>
      <c r="C174" s="45"/>
      <c r="D174" s="23">
        <v>11</v>
      </c>
      <c r="E174" s="23"/>
      <c r="F174" s="23"/>
      <c r="G174" s="23"/>
      <c r="H174" s="23"/>
      <c r="I174" s="23"/>
      <c r="J174" s="25"/>
      <c r="K174" s="25"/>
      <c r="L174" s="154"/>
    </row>
    <row r="175" spans="1:12" ht="26.25" customHeight="1">
      <c r="A175" s="53"/>
      <c r="B175" s="74" t="s">
        <v>238</v>
      </c>
      <c r="C175" s="45"/>
      <c r="D175" s="23">
        <v>11</v>
      </c>
      <c r="E175" s="23"/>
      <c r="F175" s="23"/>
      <c r="G175" s="23">
        <f t="shared" si="51"/>
        <v>0</v>
      </c>
      <c r="H175" s="23"/>
      <c r="I175" s="23"/>
      <c r="J175" s="23"/>
      <c r="K175" s="23"/>
      <c r="L175" s="154"/>
    </row>
    <row r="176" spans="1:12" ht="25.5" customHeight="1">
      <c r="A176" s="53"/>
      <c r="B176" s="74" t="s">
        <v>388</v>
      </c>
      <c r="C176" s="45"/>
      <c r="D176" s="23">
        <v>51.8</v>
      </c>
      <c r="E176" s="23"/>
      <c r="F176" s="23">
        <v>365</v>
      </c>
      <c r="G176" s="23">
        <f t="shared" si="51"/>
        <v>0</v>
      </c>
      <c r="H176" s="23"/>
      <c r="I176" s="23"/>
      <c r="J176" s="23"/>
      <c r="K176" s="23"/>
      <c r="L176" s="154"/>
    </row>
    <row r="177" spans="1:12" ht="27.75" customHeight="1">
      <c r="A177" s="53"/>
      <c r="B177" s="44" t="s">
        <v>340</v>
      </c>
      <c r="C177" s="45"/>
      <c r="D177" s="23">
        <v>6</v>
      </c>
      <c r="E177" s="23"/>
      <c r="F177" s="23"/>
      <c r="G177" s="23">
        <f t="shared" si="51"/>
        <v>0</v>
      </c>
      <c r="H177" s="23"/>
      <c r="I177" s="23"/>
      <c r="J177" s="23"/>
      <c r="K177" s="23"/>
      <c r="L177" s="154"/>
    </row>
    <row r="178" spans="1:12" ht="24.75" customHeight="1">
      <c r="A178" s="53"/>
      <c r="B178" s="44" t="s">
        <v>235</v>
      </c>
      <c r="C178" s="45"/>
      <c r="D178" s="23"/>
      <c r="E178" s="23"/>
      <c r="F178" s="23">
        <v>2.4</v>
      </c>
      <c r="G178" s="23">
        <f t="shared" si="51"/>
        <v>0</v>
      </c>
      <c r="H178" s="23"/>
      <c r="I178" s="23"/>
      <c r="J178" s="23"/>
      <c r="K178" s="23"/>
      <c r="L178" s="154"/>
    </row>
    <row r="179" spans="1:12" ht="24.75" customHeight="1">
      <c r="A179" s="53"/>
      <c r="B179" s="44" t="s">
        <v>282</v>
      </c>
      <c r="C179" s="45"/>
      <c r="D179" s="23">
        <v>20.399999999999999</v>
      </c>
      <c r="E179" s="23"/>
      <c r="F179" s="23"/>
      <c r="G179" s="23">
        <f t="shared" si="51"/>
        <v>0</v>
      </c>
      <c r="H179" s="23"/>
      <c r="I179" s="23"/>
      <c r="J179" s="23"/>
      <c r="K179" s="23"/>
      <c r="L179" s="154"/>
    </row>
    <row r="180" spans="1:12" ht="24.75" customHeight="1">
      <c r="A180" s="53"/>
      <c r="B180" s="44" t="s">
        <v>356</v>
      </c>
      <c r="C180" s="45"/>
      <c r="D180" s="23">
        <v>72.3</v>
      </c>
      <c r="E180" s="23"/>
      <c r="F180" s="23">
        <v>19.2</v>
      </c>
      <c r="G180" s="23">
        <f t="shared" si="51"/>
        <v>0</v>
      </c>
      <c r="H180" s="23"/>
      <c r="I180" s="23"/>
      <c r="J180" s="23"/>
      <c r="K180" s="23"/>
      <c r="L180" s="154"/>
    </row>
    <row r="181" spans="1:12" ht="24.75" customHeight="1">
      <c r="A181" s="53"/>
      <c r="B181" s="44" t="s">
        <v>242</v>
      </c>
      <c r="C181" s="45"/>
      <c r="D181" s="23">
        <v>23.2</v>
      </c>
      <c r="E181" s="23"/>
      <c r="F181" s="23"/>
      <c r="G181" s="23">
        <f t="shared" si="51"/>
        <v>0</v>
      </c>
      <c r="H181" s="23"/>
      <c r="I181" s="23"/>
      <c r="J181" s="23"/>
      <c r="K181" s="23"/>
      <c r="L181" s="154"/>
    </row>
    <row r="182" spans="1:12" ht="27" hidden="1" customHeight="1">
      <c r="A182" s="53"/>
      <c r="B182" s="44" t="s">
        <v>247</v>
      </c>
      <c r="C182" s="45"/>
      <c r="D182" s="23">
        <v>0</v>
      </c>
      <c r="E182" s="23"/>
      <c r="F182" s="23"/>
      <c r="G182" s="23">
        <f t="shared" si="51"/>
        <v>0</v>
      </c>
      <c r="H182" s="23"/>
      <c r="I182" s="23"/>
      <c r="J182" s="23"/>
      <c r="K182" s="23"/>
      <c r="L182" s="154"/>
    </row>
    <row r="183" spans="1:12" ht="24.75" hidden="1" customHeight="1">
      <c r="A183" s="53" t="s">
        <v>346</v>
      </c>
      <c r="B183" s="44" t="s">
        <v>187</v>
      </c>
      <c r="C183" s="45">
        <v>1030</v>
      </c>
      <c r="D183" s="23"/>
      <c r="E183" s="23"/>
      <c r="F183" s="23"/>
      <c r="G183" s="23"/>
      <c r="H183" s="23"/>
      <c r="I183" s="23"/>
      <c r="J183" s="25"/>
      <c r="K183" s="25"/>
      <c r="L183" s="154"/>
    </row>
    <row r="184" spans="1:12" ht="24.75" hidden="1" customHeight="1">
      <c r="A184" s="53"/>
      <c r="B184" s="44"/>
      <c r="C184" s="45"/>
      <c r="D184" s="23"/>
      <c r="E184" s="23"/>
      <c r="F184" s="23"/>
      <c r="G184" s="23"/>
      <c r="H184" s="23"/>
      <c r="I184" s="23"/>
      <c r="J184" s="23"/>
      <c r="K184" s="23"/>
      <c r="L184" s="154"/>
    </row>
    <row r="185" spans="1:12" ht="24.75" customHeight="1">
      <c r="A185" s="162" t="s">
        <v>392</v>
      </c>
      <c r="B185" s="163" t="s">
        <v>137</v>
      </c>
      <c r="C185" s="164"/>
      <c r="D185" s="9">
        <f>D187</f>
        <v>88</v>
      </c>
      <c r="E185" s="9">
        <f>E187</f>
        <v>88</v>
      </c>
      <c r="F185" s="9">
        <f t="shared" ref="F185:K185" si="53">F187</f>
        <v>165.7</v>
      </c>
      <c r="G185" s="9">
        <f t="shared" si="53"/>
        <v>144</v>
      </c>
      <c r="H185" s="9">
        <f t="shared" si="53"/>
        <v>36</v>
      </c>
      <c r="I185" s="9">
        <f t="shared" si="53"/>
        <v>36</v>
      </c>
      <c r="J185" s="9">
        <f t="shared" si="53"/>
        <v>36</v>
      </c>
      <c r="K185" s="9">
        <f t="shared" si="53"/>
        <v>36</v>
      </c>
      <c r="L185" s="154"/>
    </row>
    <row r="186" spans="1:12" ht="24.75" customHeight="1">
      <c r="A186" s="53"/>
      <c r="B186" s="12" t="s">
        <v>180</v>
      </c>
      <c r="C186" s="45"/>
      <c r="D186" s="23"/>
      <c r="E186" s="23"/>
      <c r="F186" s="23"/>
      <c r="G186" s="23"/>
      <c r="H186" s="23"/>
      <c r="I186" s="23"/>
      <c r="J186" s="25"/>
      <c r="K186" s="25"/>
      <c r="L186" s="154"/>
    </row>
    <row r="187" spans="1:12" ht="24.75" customHeight="1">
      <c r="A187" s="55" t="s">
        <v>425</v>
      </c>
      <c r="B187" s="56" t="s">
        <v>186</v>
      </c>
      <c r="C187" s="229">
        <v>1020</v>
      </c>
      <c r="D187" s="22">
        <f>D188</f>
        <v>88</v>
      </c>
      <c r="E187" s="22">
        <f t="shared" ref="E187:K187" si="54">E190</f>
        <v>88</v>
      </c>
      <c r="F187" s="22">
        <f t="shared" si="54"/>
        <v>165.7</v>
      </c>
      <c r="G187" s="22">
        <f t="shared" si="54"/>
        <v>144</v>
      </c>
      <c r="H187" s="22">
        <f t="shared" si="54"/>
        <v>36</v>
      </c>
      <c r="I187" s="22">
        <f t="shared" si="54"/>
        <v>36</v>
      </c>
      <c r="J187" s="22">
        <f t="shared" si="54"/>
        <v>36</v>
      </c>
      <c r="K187" s="22">
        <f t="shared" si="54"/>
        <v>36</v>
      </c>
      <c r="L187" s="154"/>
    </row>
    <row r="188" spans="1:12" ht="24.75" customHeight="1">
      <c r="A188" s="49" t="s">
        <v>426</v>
      </c>
      <c r="B188" s="52" t="s">
        <v>487</v>
      </c>
      <c r="C188" s="51">
        <v>1021</v>
      </c>
      <c r="D188" s="54">
        <f>D190+D189</f>
        <v>88</v>
      </c>
      <c r="E188" s="54">
        <f t="shared" ref="E188:F188" si="55">E190</f>
        <v>88</v>
      </c>
      <c r="F188" s="54">
        <f t="shared" si="55"/>
        <v>165.7</v>
      </c>
      <c r="G188" s="54">
        <f>H188+I188+J188+K188</f>
        <v>144</v>
      </c>
      <c r="H188" s="54">
        <f t="shared" ref="H188:K188" si="56">H190</f>
        <v>36</v>
      </c>
      <c r="I188" s="54">
        <f t="shared" si="56"/>
        <v>36</v>
      </c>
      <c r="J188" s="84">
        <f t="shared" si="56"/>
        <v>36</v>
      </c>
      <c r="K188" s="84">
        <f t="shared" si="56"/>
        <v>36</v>
      </c>
      <c r="L188" s="154"/>
    </row>
    <row r="189" spans="1:12" ht="24.75" customHeight="1">
      <c r="A189" s="49"/>
      <c r="B189" s="34" t="s">
        <v>270</v>
      </c>
      <c r="C189" s="50"/>
      <c r="D189" s="24">
        <v>65</v>
      </c>
      <c r="E189" s="24"/>
      <c r="F189" s="24"/>
      <c r="G189" s="24">
        <v>0</v>
      </c>
      <c r="H189" s="24"/>
      <c r="I189" s="24"/>
      <c r="J189" s="58"/>
      <c r="K189" s="58"/>
      <c r="L189" s="154"/>
    </row>
    <row r="190" spans="1:12" ht="24.75" customHeight="1">
      <c r="A190" s="53"/>
      <c r="B190" s="44" t="s">
        <v>249</v>
      </c>
      <c r="C190" s="45"/>
      <c r="D190" s="23">
        <v>23</v>
      </c>
      <c r="E190" s="23">
        <v>88</v>
      </c>
      <c r="F190" s="23">
        <v>165.7</v>
      </c>
      <c r="G190" s="23">
        <f>H190+I190+J190+K190</f>
        <v>144</v>
      </c>
      <c r="H190" s="23">
        <v>36</v>
      </c>
      <c r="I190" s="23">
        <v>36</v>
      </c>
      <c r="J190" s="23">
        <v>36</v>
      </c>
      <c r="K190" s="23">
        <v>36</v>
      </c>
      <c r="L190" s="154"/>
    </row>
    <row r="191" spans="1:12" ht="24.75" hidden="1" customHeight="1">
      <c r="A191" s="53"/>
      <c r="B191" s="229" t="s">
        <v>342</v>
      </c>
      <c r="C191" s="45"/>
      <c r="D191" s="22"/>
      <c r="E191" s="23"/>
      <c r="F191" s="23"/>
      <c r="G191" s="23"/>
      <c r="H191" s="23"/>
      <c r="I191" s="23"/>
      <c r="J191" s="23"/>
      <c r="K191" s="23"/>
      <c r="L191" s="154"/>
    </row>
    <row r="192" spans="1:12" ht="24.75" hidden="1" customHeight="1">
      <c r="A192" s="53"/>
      <c r="B192" s="34"/>
      <c r="C192" s="45">
        <v>1025</v>
      </c>
      <c r="D192" s="23"/>
      <c r="E192" s="23"/>
      <c r="F192" s="23"/>
      <c r="G192" s="23">
        <f>H192+I192+J192+K192</f>
        <v>0</v>
      </c>
      <c r="H192" s="23"/>
      <c r="I192" s="23"/>
      <c r="J192" s="23"/>
      <c r="K192" s="23"/>
      <c r="L192" s="154"/>
    </row>
    <row r="193" spans="1:12" ht="24.75" hidden="1" customHeight="1">
      <c r="A193" s="53"/>
      <c r="B193" s="44" t="s">
        <v>187</v>
      </c>
      <c r="C193" s="45">
        <v>1030</v>
      </c>
      <c r="D193" s="23"/>
      <c r="E193" s="23"/>
      <c r="F193" s="23"/>
      <c r="G193" s="23"/>
      <c r="H193" s="23"/>
      <c r="I193" s="23"/>
      <c r="J193" s="25"/>
      <c r="K193" s="25"/>
      <c r="L193" s="154"/>
    </row>
    <row r="194" spans="1:12" ht="24.75" hidden="1" customHeight="1">
      <c r="A194" s="53"/>
      <c r="B194" s="44"/>
      <c r="C194" s="45"/>
      <c r="D194" s="23"/>
      <c r="E194" s="23"/>
      <c r="F194" s="23"/>
      <c r="G194" s="23"/>
      <c r="H194" s="23"/>
      <c r="I194" s="23"/>
      <c r="J194" s="25"/>
      <c r="K194" s="25"/>
      <c r="L194" s="154"/>
    </row>
    <row r="195" spans="1:12" ht="24.75" customHeight="1">
      <c r="A195" s="162" t="s">
        <v>399</v>
      </c>
      <c r="B195" s="165" t="s">
        <v>393</v>
      </c>
      <c r="C195" s="164"/>
      <c r="D195" s="11"/>
      <c r="E195" s="11"/>
      <c r="F195" s="9">
        <f>F197+F201</f>
        <v>2555.5</v>
      </c>
      <c r="G195" s="9">
        <f t="shared" ref="G195:K195" si="57">G197+G201</f>
        <v>0</v>
      </c>
      <c r="H195" s="9">
        <f t="shared" si="57"/>
        <v>0</v>
      </c>
      <c r="I195" s="9">
        <f t="shared" si="57"/>
        <v>0</v>
      </c>
      <c r="J195" s="9">
        <f t="shared" si="57"/>
        <v>0</v>
      </c>
      <c r="K195" s="9">
        <f t="shared" si="57"/>
        <v>0</v>
      </c>
      <c r="L195" s="154"/>
    </row>
    <row r="196" spans="1:12" ht="24.75" customHeight="1">
      <c r="A196" s="53"/>
      <c r="B196" s="12" t="s">
        <v>180</v>
      </c>
      <c r="C196" s="45"/>
      <c r="D196" s="23"/>
      <c r="E196" s="23"/>
      <c r="F196" s="23"/>
      <c r="G196" s="23"/>
      <c r="H196" s="23"/>
      <c r="I196" s="23"/>
      <c r="J196" s="25"/>
      <c r="K196" s="25"/>
      <c r="L196" s="154"/>
    </row>
    <row r="197" spans="1:12" ht="24.75" customHeight="1">
      <c r="A197" s="55" t="s">
        <v>322</v>
      </c>
      <c r="B197" s="56" t="s">
        <v>184</v>
      </c>
      <c r="C197" s="229">
        <v>1010</v>
      </c>
      <c r="D197" s="22"/>
      <c r="E197" s="22"/>
      <c r="F197" s="22">
        <f>F198</f>
        <v>2016.8</v>
      </c>
      <c r="G197" s="22">
        <f t="shared" ref="G197:G198" si="58">G198</f>
        <v>0</v>
      </c>
      <c r="H197" s="22"/>
      <c r="I197" s="22"/>
      <c r="J197" s="22"/>
      <c r="K197" s="22"/>
      <c r="L197" s="154"/>
    </row>
    <row r="198" spans="1:12" ht="24.75" customHeight="1">
      <c r="A198" s="59" t="s">
        <v>485</v>
      </c>
      <c r="B198" s="52" t="s">
        <v>394</v>
      </c>
      <c r="C198" s="51">
        <v>1011</v>
      </c>
      <c r="D198" s="54"/>
      <c r="E198" s="54"/>
      <c r="F198" s="54">
        <f>F199</f>
        <v>2016.8</v>
      </c>
      <c r="G198" s="54">
        <f t="shared" si="58"/>
        <v>0</v>
      </c>
      <c r="H198" s="54"/>
      <c r="I198" s="54"/>
      <c r="J198" s="54"/>
      <c r="K198" s="54"/>
      <c r="L198" s="154"/>
    </row>
    <row r="199" spans="1:12" ht="39.75" customHeight="1">
      <c r="A199" s="53"/>
      <c r="B199" s="61" t="s">
        <v>395</v>
      </c>
      <c r="C199" s="45"/>
      <c r="D199" s="23"/>
      <c r="E199" s="23"/>
      <c r="F199" s="23">
        <v>2016.8</v>
      </c>
      <c r="G199" s="23">
        <f t="shared" ref="G199" si="59">SUM(H199:K199)</f>
        <v>0</v>
      </c>
      <c r="H199" s="23"/>
      <c r="I199" s="23"/>
      <c r="J199" s="25"/>
      <c r="K199" s="25"/>
      <c r="L199" s="154"/>
    </row>
    <row r="200" spans="1:12" ht="24.75" hidden="1" customHeight="1">
      <c r="A200" s="53"/>
      <c r="B200" s="44"/>
      <c r="C200" s="45"/>
      <c r="D200" s="23"/>
      <c r="E200" s="23"/>
      <c r="F200" s="23"/>
      <c r="G200" s="23"/>
      <c r="H200" s="23"/>
      <c r="I200" s="23"/>
      <c r="J200" s="25"/>
      <c r="K200" s="25"/>
      <c r="L200" s="154"/>
    </row>
    <row r="201" spans="1:12" ht="24.75" customHeight="1">
      <c r="A201" s="55" t="s">
        <v>347</v>
      </c>
      <c r="B201" s="56" t="s">
        <v>186</v>
      </c>
      <c r="C201" s="229">
        <v>1020</v>
      </c>
      <c r="D201" s="22"/>
      <c r="E201" s="22"/>
      <c r="F201" s="22">
        <f>F202+F204</f>
        <v>538.69999999999993</v>
      </c>
      <c r="G201" s="22">
        <f>G202+G204</f>
        <v>0</v>
      </c>
      <c r="H201" s="22"/>
      <c r="I201" s="22"/>
      <c r="J201" s="22"/>
      <c r="K201" s="22"/>
      <c r="L201" s="154"/>
    </row>
    <row r="202" spans="1:12" ht="24.75" customHeight="1">
      <c r="A202" s="59" t="s">
        <v>400</v>
      </c>
      <c r="B202" s="52" t="s">
        <v>394</v>
      </c>
      <c r="C202" s="51">
        <v>1021</v>
      </c>
      <c r="D202" s="54"/>
      <c r="E202" s="54"/>
      <c r="F202" s="54">
        <f>F203</f>
        <v>524.4</v>
      </c>
      <c r="G202" s="54">
        <f t="shared" ref="G202" si="60">G203</f>
        <v>0</v>
      </c>
      <c r="H202" s="54"/>
      <c r="I202" s="54"/>
      <c r="J202" s="54"/>
      <c r="K202" s="54"/>
      <c r="L202" s="154"/>
    </row>
    <row r="203" spans="1:12" ht="24.75" customHeight="1">
      <c r="A203" s="53"/>
      <c r="B203" s="44" t="s">
        <v>235</v>
      </c>
      <c r="C203" s="7"/>
      <c r="D203" s="23"/>
      <c r="E203" s="23"/>
      <c r="F203" s="23">
        <v>524.4</v>
      </c>
      <c r="G203" s="23">
        <f t="shared" ref="G203" si="61">SUM(H203:K203)</f>
        <v>0</v>
      </c>
      <c r="H203" s="23"/>
      <c r="I203" s="23"/>
      <c r="J203" s="25"/>
      <c r="K203" s="25"/>
      <c r="L203" s="154"/>
    </row>
    <row r="204" spans="1:12" ht="24.75" customHeight="1">
      <c r="A204" s="59" t="s">
        <v>401</v>
      </c>
      <c r="B204" s="52" t="s">
        <v>396</v>
      </c>
      <c r="C204" s="82">
        <v>1025</v>
      </c>
      <c r="D204" s="54"/>
      <c r="E204" s="54"/>
      <c r="F204" s="54">
        <f>SUM(F205:F206)</f>
        <v>14.3</v>
      </c>
      <c r="G204" s="54">
        <f>SUM(H204:K204)</f>
        <v>0</v>
      </c>
      <c r="H204" s="54"/>
      <c r="I204" s="54"/>
      <c r="J204" s="54"/>
      <c r="K204" s="54"/>
      <c r="L204" s="154"/>
    </row>
    <row r="205" spans="1:12" ht="24.75" customHeight="1">
      <c r="A205" s="53"/>
      <c r="B205" s="34" t="s">
        <v>397</v>
      </c>
      <c r="C205" s="7"/>
      <c r="D205" s="23"/>
      <c r="E205" s="23"/>
      <c r="F205" s="23">
        <v>7.7</v>
      </c>
      <c r="G205" s="23">
        <f t="shared" ref="G205:G206" si="62">SUM(H205:K205)</f>
        <v>0</v>
      </c>
      <c r="H205" s="23"/>
      <c r="I205" s="23"/>
      <c r="J205" s="25"/>
      <c r="K205" s="25"/>
      <c r="L205" s="154"/>
    </row>
    <row r="206" spans="1:12" ht="22.5" customHeight="1">
      <c r="A206" s="53"/>
      <c r="B206" s="44" t="s">
        <v>398</v>
      </c>
      <c r="C206" s="108"/>
      <c r="D206" s="22"/>
      <c r="E206" s="23"/>
      <c r="F206" s="23">
        <v>6.6</v>
      </c>
      <c r="G206" s="23">
        <f t="shared" si="62"/>
        <v>0</v>
      </c>
      <c r="H206" s="23"/>
      <c r="I206" s="23"/>
      <c r="J206" s="25"/>
      <c r="K206" s="25"/>
      <c r="L206" s="154"/>
    </row>
    <row r="207" spans="1:12" ht="24.75" hidden="1" customHeight="1">
      <c r="A207" s="75" t="s">
        <v>352</v>
      </c>
      <c r="B207" s="76" t="s">
        <v>137</v>
      </c>
      <c r="C207" s="10"/>
      <c r="D207" s="23"/>
      <c r="E207" s="23"/>
      <c r="F207" s="23"/>
      <c r="G207" s="23"/>
      <c r="H207" s="23"/>
      <c r="I207" s="23"/>
      <c r="J207" s="25"/>
      <c r="K207" s="25"/>
      <c r="L207" s="154"/>
    </row>
    <row r="208" spans="1:12" ht="24.75" hidden="1" customHeight="1">
      <c r="A208" s="75" t="s">
        <v>353</v>
      </c>
      <c r="B208" s="77" t="s">
        <v>177</v>
      </c>
      <c r="C208" s="8">
        <v>1020</v>
      </c>
      <c r="D208" s="23"/>
      <c r="E208" s="23"/>
      <c r="F208" s="23"/>
      <c r="G208" s="23"/>
      <c r="H208" s="23"/>
      <c r="I208" s="23"/>
      <c r="J208" s="23"/>
      <c r="K208" s="23"/>
      <c r="L208" s="154"/>
    </row>
    <row r="209" spans="1:12" ht="22.5" hidden="1" customHeight="1">
      <c r="A209" s="75"/>
      <c r="B209" s="72" t="s">
        <v>249</v>
      </c>
      <c r="C209" s="10">
        <v>1025</v>
      </c>
      <c r="D209" s="23"/>
      <c r="E209" s="23"/>
      <c r="F209" s="23"/>
      <c r="G209" s="23"/>
      <c r="H209" s="23"/>
      <c r="I209" s="23"/>
      <c r="J209" s="23"/>
      <c r="K209" s="23"/>
      <c r="L209" s="154"/>
    </row>
    <row r="210" spans="1:12" ht="24.75" hidden="1" customHeight="1">
      <c r="A210" s="75"/>
      <c r="B210" s="72"/>
      <c r="C210" s="10"/>
      <c r="D210" s="23"/>
      <c r="E210" s="23"/>
      <c r="F210" s="23"/>
      <c r="G210" s="23"/>
      <c r="H210" s="23"/>
      <c r="I210" s="23"/>
      <c r="J210" s="23"/>
      <c r="K210" s="23"/>
      <c r="L210" s="154"/>
    </row>
    <row r="211" spans="1:12" ht="24.75" customHeight="1">
      <c r="A211" s="78" t="s">
        <v>402</v>
      </c>
      <c r="B211" s="166" t="s">
        <v>281</v>
      </c>
      <c r="C211" s="10"/>
      <c r="D211" s="11"/>
      <c r="E211" s="11">
        <f>E214</f>
        <v>0</v>
      </c>
      <c r="F211" s="9">
        <f>F214</f>
        <v>5.6</v>
      </c>
      <c r="G211" s="9">
        <f>H211+I211+J211+K211</f>
        <v>34</v>
      </c>
      <c r="H211" s="9">
        <f>H214</f>
        <v>15</v>
      </c>
      <c r="I211" s="9">
        <f>I214</f>
        <v>0</v>
      </c>
      <c r="J211" s="9">
        <f>J214</f>
        <v>4</v>
      </c>
      <c r="K211" s="9">
        <f>K214</f>
        <v>15</v>
      </c>
      <c r="L211" s="154"/>
    </row>
    <row r="212" spans="1:12" ht="24.75" customHeight="1">
      <c r="A212" s="78"/>
      <c r="B212" s="12" t="s">
        <v>180</v>
      </c>
      <c r="C212" s="7"/>
      <c r="D212" s="23"/>
      <c r="E212" s="23"/>
      <c r="F212" s="23"/>
      <c r="G212" s="22"/>
      <c r="H212" s="22"/>
      <c r="I212" s="22"/>
      <c r="J212" s="22"/>
      <c r="K212" s="22"/>
      <c r="L212" s="154"/>
    </row>
    <row r="213" spans="1:12" ht="24.75" customHeight="1">
      <c r="A213" s="114" t="s">
        <v>403</v>
      </c>
      <c r="B213" s="56" t="s">
        <v>186</v>
      </c>
      <c r="C213" s="108">
        <v>1020</v>
      </c>
      <c r="D213" s="23"/>
      <c r="E213" s="23"/>
      <c r="F213" s="23">
        <f>F214</f>
        <v>5.6</v>
      </c>
      <c r="G213" s="22">
        <f t="shared" ref="G213:G215" si="63">H213+I213+J213+K213</f>
        <v>34</v>
      </c>
      <c r="H213" s="22">
        <f>H214</f>
        <v>15</v>
      </c>
      <c r="I213" s="22">
        <f t="shared" ref="I213:K213" si="64">I214</f>
        <v>0</v>
      </c>
      <c r="J213" s="22">
        <f t="shared" si="64"/>
        <v>4</v>
      </c>
      <c r="K213" s="22">
        <f t="shared" si="64"/>
        <v>15</v>
      </c>
      <c r="L213" s="154"/>
    </row>
    <row r="214" spans="1:12" ht="24.75" customHeight="1">
      <c r="A214" s="115" t="s">
        <v>429</v>
      </c>
      <c r="B214" s="52" t="s">
        <v>394</v>
      </c>
      <c r="C214" s="82">
        <v>1021</v>
      </c>
      <c r="D214" s="54"/>
      <c r="E214" s="54">
        <f>E215</f>
        <v>0</v>
      </c>
      <c r="F214" s="54">
        <f>F215</f>
        <v>5.6</v>
      </c>
      <c r="G214" s="54">
        <f t="shared" si="63"/>
        <v>34</v>
      </c>
      <c r="H214" s="54">
        <f>H215</f>
        <v>15</v>
      </c>
      <c r="I214" s="54">
        <f t="shared" ref="I214:K214" si="65">I215</f>
        <v>0</v>
      </c>
      <c r="J214" s="54">
        <f t="shared" si="65"/>
        <v>4</v>
      </c>
      <c r="K214" s="54">
        <f t="shared" si="65"/>
        <v>15</v>
      </c>
      <c r="L214" s="154"/>
    </row>
    <row r="215" spans="1:12" ht="24.75" customHeight="1">
      <c r="A215" s="78"/>
      <c r="B215" s="74" t="s">
        <v>235</v>
      </c>
      <c r="C215" s="7"/>
      <c r="D215" s="23"/>
      <c r="E215" s="23"/>
      <c r="F215" s="23">
        <v>5.6</v>
      </c>
      <c r="G215" s="23">
        <f t="shared" si="63"/>
        <v>34</v>
      </c>
      <c r="H215" s="23">
        <v>15</v>
      </c>
      <c r="I215" s="23"/>
      <c r="J215" s="23">
        <v>4</v>
      </c>
      <c r="K215" s="23">
        <v>15</v>
      </c>
      <c r="L215" s="154"/>
    </row>
    <row r="216" spans="1:12" ht="24.75" customHeight="1">
      <c r="A216" s="78" t="s">
        <v>404</v>
      </c>
      <c r="B216" s="166" t="s">
        <v>283</v>
      </c>
      <c r="C216" s="10"/>
      <c r="D216" s="9">
        <f>D217</f>
        <v>1450.2</v>
      </c>
      <c r="E216" s="9">
        <f>E217</f>
        <v>1450.2</v>
      </c>
      <c r="F216" s="9">
        <f t="shared" ref="F216:K217" si="66">F217</f>
        <v>3048.4</v>
      </c>
      <c r="G216" s="9">
        <f t="shared" si="66"/>
        <v>2652</v>
      </c>
      <c r="H216" s="9">
        <f t="shared" si="66"/>
        <v>663</v>
      </c>
      <c r="I216" s="9">
        <f t="shared" si="66"/>
        <v>663</v>
      </c>
      <c r="J216" s="9">
        <f t="shared" si="66"/>
        <v>663</v>
      </c>
      <c r="K216" s="9">
        <f t="shared" si="66"/>
        <v>663</v>
      </c>
      <c r="L216" s="154"/>
    </row>
    <row r="217" spans="1:12" ht="27" customHeight="1">
      <c r="A217" s="114" t="s">
        <v>427</v>
      </c>
      <c r="B217" s="116" t="s">
        <v>256</v>
      </c>
      <c r="C217" s="108">
        <v>1020</v>
      </c>
      <c r="D217" s="22">
        <f>D218</f>
        <v>1450.2</v>
      </c>
      <c r="E217" s="22">
        <f>E218</f>
        <v>1450.2</v>
      </c>
      <c r="F217" s="22">
        <f t="shared" si="66"/>
        <v>3048.4</v>
      </c>
      <c r="G217" s="22">
        <f t="shared" si="66"/>
        <v>2652</v>
      </c>
      <c r="H217" s="22">
        <f>H218</f>
        <v>663</v>
      </c>
      <c r="I217" s="22">
        <f t="shared" si="66"/>
        <v>663</v>
      </c>
      <c r="J217" s="22">
        <f t="shared" si="66"/>
        <v>663</v>
      </c>
      <c r="K217" s="22">
        <f t="shared" si="66"/>
        <v>663</v>
      </c>
      <c r="L217" s="154"/>
    </row>
    <row r="218" spans="1:12" ht="42" customHeight="1">
      <c r="A218" s="115" t="s">
        <v>428</v>
      </c>
      <c r="B218" s="117" t="s">
        <v>351</v>
      </c>
      <c r="C218" s="82">
        <v>1024</v>
      </c>
      <c r="D218" s="54">
        <v>1450.2</v>
      </c>
      <c r="E218" s="54">
        <v>1450.2</v>
      </c>
      <c r="F218" s="54">
        <v>3048.4</v>
      </c>
      <c r="G218" s="54">
        <f>H218+I218+J218+K218</f>
        <v>2652</v>
      </c>
      <c r="H218" s="54">
        <v>663</v>
      </c>
      <c r="I218" s="54">
        <v>663</v>
      </c>
      <c r="J218" s="84">
        <v>663</v>
      </c>
      <c r="K218" s="84">
        <v>663</v>
      </c>
      <c r="L218" s="154"/>
    </row>
    <row r="219" spans="1:12" ht="21.75" customHeight="1">
      <c r="B219" s="37"/>
      <c r="D219" s="39"/>
      <c r="E219" s="40"/>
      <c r="F219" s="40"/>
      <c r="G219" s="62"/>
      <c r="H219" s="62"/>
      <c r="I219" s="62"/>
      <c r="J219" s="62"/>
      <c r="K219" s="62"/>
      <c r="L219" s="154"/>
    </row>
    <row r="220" spans="1:12" ht="16.5" customHeight="1">
      <c r="B220" s="37"/>
      <c r="D220" s="39"/>
      <c r="E220" s="40"/>
      <c r="F220" s="40"/>
      <c r="G220" s="62"/>
      <c r="H220" s="62"/>
      <c r="I220" s="62"/>
      <c r="J220" s="62"/>
      <c r="K220" s="62"/>
      <c r="L220" s="154"/>
    </row>
    <row r="221" spans="1:12" ht="48" customHeight="1">
      <c r="B221" s="89" t="s">
        <v>433</v>
      </c>
      <c r="C221" s="63"/>
      <c r="D221" s="302"/>
      <c r="E221" s="302"/>
      <c r="F221" s="126"/>
      <c r="G221" s="64"/>
      <c r="H221" s="303" t="s">
        <v>432</v>
      </c>
      <c r="I221" s="304"/>
      <c r="J221" s="304"/>
      <c r="L221" s="154"/>
    </row>
    <row r="222" spans="1:12" ht="34.5" customHeight="1">
      <c r="B222" s="38" t="s">
        <v>133</v>
      </c>
      <c r="C222" s="1"/>
      <c r="D222" s="305" t="s">
        <v>149</v>
      </c>
      <c r="E222" s="305"/>
      <c r="F222" s="125"/>
      <c r="G222" s="1"/>
      <c r="H222" s="301" t="s">
        <v>35</v>
      </c>
      <c r="I222" s="301"/>
      <c r="J222" s="301"/>
      <c r="L222" s="154"/>
    </row>
    <row r="223" spans="1:12" ht="29.25" customHeight="1">
      <c r="B223" s="37"/>
      <c r="D223" s="39"/>
      <c r="E223" s="40"/>
      <c r="F223" s="40"/>
      <c r="G223" s="40"/>
      <c r="H223" s="40"/>
      <c r="I223" s="40"/>
      <c r="L223" s="154"/>
    </row>
    <row r="224" spans="1:12" ht="35.25" customHeight="1">
      <c r="B224" s="37"/>
      <c r="D224" s="39"/>
      <c r="E224" s="40"/>
      <c r="F224" s="40"/>
      <c r="G224" s="40"/>
      <c r="H224" s="40"/>
      <c r="I224" s="40"/>
      <c r="L224" s="154"/>
    </row>
    <row r="225" spans="1:21" ht="35.25" customHeight="1">
      <c r="B225" s="37"/>
      <c r="D225" s="39"/>
      <c r="E225" s="40"/>
      <c r="F225" s="40"/>
      <c r="G225" s="40"/>
      <c r="H225" s="40"/>
      <c r="I225" s="40"/>
      <c r="L225" s="154"/>
    </row>
    <row r="226" spans="1:21" ht="35.25" customHeight="1">
      <c r="B226" s="37"/>
      <c r="D226" s="39"/>
      <c r="E226" s="40"/>
      <c r="F226" s="65"/>
      <c r="G226" s="65"/>
      <c r="H226" s="40"/>
      <c r="I226" s="40"/>
      <c r="L226" s="154"/>
    </row>
    <row r="227" spans="1:21" s="147" customFormat="1" ht="39" customHeight="1">
      <c r="A227" s="1"/>
      <c r="B227" s="37"/>
      <c r="C227" s="88"/>
      <c r="D227" s="88"/>
      <c r="E227" s="40"/>
      <c r="F227" s="40"/>
      <c r="G227" s="40"/>
      <c r="H227" s="40"/>
      <c r="I227" s="40"/>
      <c r="J227" s="40"/>
      <c r="K227" s="40"/>
      <c r="L227" s="154"/>
      <c r="M227" s="158"/>
      <c r="N227" s="157"/>
      <c r="O227" s="157"/>
      <c r="P227" s="157"/>
      <c r="Q227" s="157"/>
      <c r="R227" s="157"/>
      <c r="S227" s="157"/>
      <c r="T227" s="157"/>
      <c r="U227" s="157"/>
    </row>
    <row r="228" spans="1:21" s="147" customFormat="1" ht="32.25" customHeight="1">
      <c r="A228" s="1"/>
      <c r="B228" s="37"/>
      <c r="C228" s="88"/>
      <c r="D228" s="40"/>
      <c r="E228" s="40"/>
      <c r="F228" s="40"/>
      <c r="G228" s="40"/>
      <c r="H228" s="40"/>
      <c r="I228" s="40"/>
      <c r="J228" s="40"/>
      <c r="K228" s="40"/>
      <c r="L228" s="154"/>
      <c r="M228" s="158"/>
      <c r="N228" s="157"/>
      <c r="O228" s="157"/>
      <c r="P228" s="157"/>
      <c r="Q228" s="157"/>
      <c r="R228" s="157"/>
      <c r="S228" s="157"/>
      <c r="T228" s="157"/>
      <c r="U228" s="157"/>
    </row>
    <row r="229" spans="1:21" s="147" customFormat="1" ht="31.5" customHeight="1">
      <c r="A229" s="1"/>
      <c r="B229" s="37"/>
      <c r="C229" s="88"/>
      <c r="D229" s="40"/>
      <c r="E229" s="40"/>
      <c r="F229" s="40"/>
      <c r="G229" s="40"/>
      <c r="H229" s="40"/>
      <c r="I229" s="40"/>
      <c r="J229" s="40"/>
      <c r="K229" s="40"/>
      <c r="L229" s="154"/>
      <c r="M229" s="158"/>
      <c r="N229" s="157"/>
      <c r="O229" s="157"/>
      <c r="P229" s="157"/>
      <c r="Q229" s="157"/>
      <c r="R229" s="157"/>
      <c r="S229" s="157"/>
      <c r="T229" s="157"/>
      <c r="U229" s="157"/>
    </row>
    <row r="230" spans="1:21" s="147" customFormat="1" ht="31.5" customHeight="1">
      <c r="A230" s="1"/>
      <c r="B230" s="37"/>
      <c r="C230" s="88"/>
      <c r="D230" s="40"/>
      <c r="E230" s="40"/>
      <c r="F230" s="40"/>
      <c r="G230" s="40"/>
      <c r="H230" s="40"/>
      <c r="I230" s="40"/>
      <c r="J230" s="40"/>
      <c r="K230" s="40"/>
      <c r="L230" s="154"/>
      <c r="M230" s="158"/>
      <c r="N230" s="157"/>
      <c r="O230" s="157"/>
      <c r="P230" s="157"/>
      <c r="Q230" s="157"/>
      <c r="R230" s="157"/>
      <c r="S230" s="157"/>
      <c r="T230" s="157"/>
      <c r="U230" s="157"/>
    </row>
    <row r="231" spans="1:21" s="147" customFormat="1" ht="31.5" customHeight="1">
      <c r="A231" s="1"/>
      <c r="B231" s="37"/>
      <c r="C231" s="88"/>
      <c r="D231" s="40"/>
      <c r="E231" s="40"/>
      <c r="F231" s="40"/>
      <c r="G231" s="40"/>
      <c r="H231" s="40"/>
      <c r="I231" s="40"/>
      <c r="J231" s="40"/>
      <c r="K231" s="40"/>
      <c r="L231" s="154"/>
      <c r="M231" s="158"/>
      <c r="N231" s="157"/>
      <c r="O231" s="157"/>
      <c r="P231" s="157"/>
      <c r="Q231" s="157"/>
      <c r="R231" s="157"/>
      <c r="S231" s="157"/>
      <c r="T231" s="157"/>
      <c r="U231" s="157"/>
    </row>
    <row r="232" spans="1:21" s="147" customFormat="1" ht="31.5" customHeight="1">
      <c r="A232" s="1"/>
      <c r="B232" s="37"/>
      <c r="C232" s="88"/>
      <c r="D232" s="40"/>
      <c r="E232" s="40"/>
      <c r="F232" s="40"/>
      <c r="G232" s="40"/>
      <c r="H232" s="40"/>
      <c r="I232" s="40"/>
      <c r="J232" s="40"/>
      <c r="K232" s="40"/>
      <c r="L232" s="154"/>
      <c r="M232" s="158"/>
      <c r="N232" s="157"/>
      <c r="O232" s="157"/>
      <c r="P232" s="157"/>
      <c r="Q232" s="157"/>
      <c r="R232" s="157"/>
      <c r="S232" s="157"/>
      <c r="T232" s="157"/>
      <c r="U232" s="157"/>
    </row>
    <row r="233" spans="1:21" s="147" customFormat="1" ht="29.25" customHeight="1">
      <c r="A233" s="1"/>
      <c r="B233" s="37"/>
      <c r="C233" s="88"/>
      <c r="D233" s="40"/>
      <c r="E233" s="40"/>
      <c r="F233" s="40"/>
      <c r="G233" s="40"/>
      <c r="H233" s="40"/>
      <c r="I233" s="40"/>
      <c r="J233" s="40"/>
      <c r="K233" s="40"/>
      <c r="L233" s="154"/>
      <c r="M233" s="158"/>
      <c r="N233" s="157"/>
      <c r="O233" s="157"/>
      <c r="P233" s="157"/>
      <c r="Q233" s="157"/>
      <c r="R233" s="157"/>
      <c r="S233" s="157"/>
      <c r="T233" s="157"/>
      <c r="U233" s="157"/>
    </row>
    <row r="234" spans="1:21" s="147" customFormat="1" ht="35.25" customHeight="1">
      <c r="A234" s="1"/>
      <c r="B234" s="37"/>
      <c r="C234" s="88"/>
      <c r="D234" s="40"/>
      <c r="E234" s="40"/>
      <c r="F234" s="40"/>
      <c r="G234" s="40"/>
      <c r="H234" s="40"/>
      <c r="I234" s="40"/>
      <c r="J234" s="40"/>
      <c r="K234" s="40"/>
      <c r="L234" s="154"/>
      <c r="M234" s="158"/>
      <c r="N234" s="157"/>
      <c r="O234" s="157"/>
      <c r="P234" s="157"/>
      <c r="Q234" s="157"/>
      <c r="R234" s="157"/>
      <c r="S234" s="157"/>
      <c r="T234" s="157"/>
      <c r="U234" s="157"/>
    </row>
    <row r="235" spans="1:21" s="147" customFormat="1" ht="41.25" customHeight="1">
      <c r="A235" s="1"/>
      <c r="B235" s="37"/>
      <c r="C235" s="88"/>
      <c r="D235" s="40"/>
      <c r="E235" s="40"/>
      <c r="F235" s="40"/>
      <c r="G235" s="40"/>
      <c r="H235" s="40"/>
      <c r="I235" s="40"/>
      <c r="J235" s="40"/>
      <c r="K235" s="40"/>
      <c r="L235" s="154"/>
      <c r="M235" s="158"/>
      <c r="N235" s="157"/>
      <c r="O235" s="157"/>
      <c r="P235" s="157"/>
      <c r="Q235" s="157"/>
      <c r="R235" s="157"/>
      <c r="S235" s="157"/>
      <c r="T235" s="157"/>
      <c r="U235" s="157"/>
    </row>
    <row r="236" spans="1:21" s="147" customFormat="1" ht="35.25" customHeight="1">
      <c r="A236" s="1"/>
      <c r="B236" s="37"/>
      <c r="C236" s="88"/>
      <c r="D236" s="40"/>
      <c r="E236" s="40"/>
      <c r="F236" s="40"/>
      <c r="G236" s="40"/>
      <c r="H236" s="40"/>
      <c r="I236" s="40"/>
      <c r="J236" s="40"/>
      <c r="K236" s="40"/>
      <c r="L236" s="154"/>
      <c r="M236" s="158"/>
      <c r="N236" s="157"/>
      <c r="O236" s="157"/>
      <c r="P236" s="157"/>
      <c r="Q236" s="157"/>
      <c r="R236" s="157"/>
      <c r="S236" s="157"/>
      <c r="T236" s="157"/>
      <c r="U236" s="157"/>
    </row>
    <row r="237" spans="1:21" s="147" customFormat="1" ht="41.25" customHeight="1">
      <c r="A237" s="1"/>
      <c r="B237" s="37"/>
      <c r="C237" s="88"/>
      <c r="D237" s="40"/>
      <c r="E237" s="40"/>
      <c r="F237" s="40"/>
      <c r="G237" s="40"/>
      <c r="H237" s="40"/>
      <c r="I237" s="40"/>
      <c r="J237" s="40"/>
      <c r="K237" s="40"/>
      <c r="L237" s="154"/>
      <c r="M237" s="158"/>
      <c r="N237" s="157"/>
      <c r="O237" s="157"/>
      <c r="P237" s="157"/>
      <c r="Q237" s="157"/>
      <c r="R237" s="157"/>
      <c r="S237" s="157"/>
      <c r="T237" s="157"/>
      <c r="U237" s="157"/>
    </row>
    <row r="238" spans="1:21" s="147" customFormat="1" ht="37.5" customHeight="1">
      <c r="A238" s="1"/>
      <c r="B238" s="37"/>
      <c r="C238" s="88"/>
      <c r="D238" s="40"/>
      <c r="E238" s="40"/>
      <c r="F238" s="40"/>
      <c r="G238" s="40"/>
      <c r="H238" s="40"/>
      <c r="I238" s="40"/>
      <c r="J238" s="40"/>
      <c r="K238" s="40"/>
      <c r="L238" s="154"/>
      <c r="M238" s="158"/>
      <c r="N238" s="157"/>
      <c r="O238" s="157"/>
      <c r="P238" s="157"/>
      <c r="Q238" s="157"/>
      <c r="R238" s="157"/>
      <c r="S238" s="157"/>
      <c r="T238" s="157"/>
      <c r="U238" s="157"/>
    </row>
    <row r="239" spans="1:21" s="147" customFormat="1" ht="37.5" customHeight="1">
      <c r="A239" s="1"/>
      <c r="B239" s="37"/>
      <c r="C239" s="88"/>
      <c r="D239" s="40"/>
      <c r="E239" s="40"/>
      <c r="F239" s="40"/>
      <c r="G239" s="40"/>
      <c r="H239" s="40"/>
      <c r="I239" s="40"/>
      <c r="J239" s="40"/>
      <c r="K239" s="40"/>
      <c r="L239" s="154"/>
      <c r="M239" s="158"/>
      <c r="N239" s="157"/>
      <c r="O239" s="157"/>
      <c r="P239" s="157"/>
      <c r="Q239" s="157"/>
      <c r="R239" s="157"/>
      <c r="S239" s="157"/>
      <c r="T239" s="157"/>
      <c r="U239" s="157"/>
    </row>
    <row r="240" spans="1:21" s="147" customFormat="1" ht="39" customHeight="1">
      <c r="A240" s="1"/>
      <c r="B240" s="37"/>
      <c r="C240" s="88"/>
      <c r="D240" s="40"/>
      <c r="E240" s="40"/>
      <c r="F240" s="40"/>
      <c r="G240" s="40"/>
      <c r="H240" s="40"/>
      <c r="I240" s="40"/>
      <c r="J240" s="40"/>
      <c r="K240" s="40"/>
      <c r="L240" s="154"/>
      <c r="M240" s="158"/>
      <c r="N240" s="157"/>
      <c r="O240" s="157"/>
      <c r="P240" s="157"/>
      <c r="Q240" s="157"/>
      <c r="R240" s="157"/>
      <c r="S240" s="157"/>
      <c r="T240" s="157"/>
      <c r="U240" s="157"/>
    </row>
    <row r="241" spans="1:21" s="147" customFormat="1" ht="35.25" customHeight="1">
      <c r="A241" s="1"/>
      <c r="B241" s="37"/>
      <c r="C241" s="88"/>
      <c r="D241" s="40"/>
      <c r="E241" s="40"/>
      <c r="F241" s="40"/>
      <c r="G241" s="40"/>
      <c r="H241" s="40"/>
      <c r="I241" s="40"/>
      <c r="J241" s="40"/>
      <c r="K241" s="40"/>
      <c r="L241" s="154"/>
      <c r="M241" s="158"/>
      <c r="N241" s="157"/>
      <c r="O241" s="157"/>
      <c r="P241" s="157"/>
      <c r="Q241" s="157"/>
      <c r="R241" s="157"/>
      <c r="S241" s="157"/>
      <c r="T241" s="157"/>
      <c r="U241" s="157"/>
    </row>
    <row r="242" spans="1:21" s="147" customFormat="1" ht="37.5" customHeight="1">
      <c r="A242" s="1"/>
      <c r="B242" s="37"/>
      <c r="C242" s="39"/>
      <c r="D242" s="40"/>
      <c r="E242" s="40"/>
      <c r="F242" s="40"/>
      <c r="G242" s="40"/>
      <c r="H242" s="40"/>
      <c r="I242" s="40"/>
      <c r="J242" s="40"/>
      <c r="K242" s="40"/>
      <c r="L242" s="154"/>
      <c r="M242" s="158"/>
      <c r="N242" s="157"/>
      <c r="O242" s="157"/>
      <c r="P242" s="157"/>
      <c r="Q242" s="157"/>
      <c r="R242" s="157"/>
      <c r="S242" s="157"/>
      <c r="T242" s="157"/>
      <c r="U242" s="157"/>
    </row>
    <row r="243" spans="1:21" s="147" customFormat="1" ht="31.5" customHeight="1">
      <c r="A243" s="1"/>
      <c r="B243" s="37"/>
      <c r="C243" s="38"/>
      <c r="D243" s="39"/>
      <c r="E243" s="40"/>
      <c r="F243" s="40"/>
      <c r="G243" s="40"/>
      <c r="H243" s="40"/>
      <c r="I243" s="40"/>
      <c r="J243" s="1"/>
      <c r="K243" s="1"/>
      <c r="M243" s="158"/>
      <c r="N243" s="157"/>
      <c r="O243" s="157"/>
      <c r="P243" s="157"/>
      <c r="Q243" s="157"/>
      <c r="R243" s="157"/>
      <c r="S243" s="157"/>
      <c r="T243" s="157"/>
      <c r="U243" s="157"/>
    </row>
    <row r="244" spans="1:21" s="147" customFormat="1" ht="31.5" customHeight="1">
      <c r="A244" s="1"/>
      <c r="B244" s="37"/>
      <c r="C244" s="38"/>
      <c r="D244" s="39"/>
      <c r="E244" s="40"/>
      <c r="F244" s="40"/>
      <c r="G244" s="40"/>
      <c r="H244" s="40"/>
      <c r="I244" s="40"/>
      <c r="J244" s="66"/>
      <c r="K244" s="66"/>
      <c r="L244" s="167"/>
      <c r="M244" s="158"/>
      <c r="N244" s="157"/>
      <c r="O244" s="157"/>
      <c r="P244" s="157"/>
      <c r="Q244" s="157"/>
      <c r="R244" s="157"/>
      <c r="S244" s="157"/>
      <c r="T244" s="157"/>
      <c r="U244" s="157"/>
    </row>
    <row r="245" spans="1:21">
      <c r="B245" s="37"/>
      <c r="D245" s="40"/>
      <c r="E245" s="40"/>
      <c r="F245" s="40"/>
      <c r="G245" s="40"/>
      <c r="H245" s="40"/>
      <c r="I245" s="40"/>
      <c r="J245" s="40"/>
      <c r="K245" s="40"/>
    </row>
    <row r="246" spans="1:21" ht="24.75" customHeight="1">
      <c r="B246" s="37"/>
      <c r="D246" s="39"/>
      <c r="E246" s="40"/>
      <c r="F246" s="40"/>
      <c r="G246" s="40"/>
      <c r="H246" s="40"/>
      <c r="I246" s="40"/>
    </row>
    <row r="247" spans="1:21">
      <c r="B247" s="37"/>
      <c r="D247" s="39"/>
      <c r="E247" s="40"/>
      <c r="F247" s="40"/>
      <c r="G247" s="40"/>
      <c r="H247" s="40"/>
      <c r="I247" s="40"/>
    </row>
    <row r="248" spans="1:21">
      <c r="B248" s="37"/>
      <c r="D248" s="39"/>
      <c r="E248" s="40"/>
      <c r="F248" s="40"/>
      <c r="G248" s="40"/>
      <c r="H248" s="40"/>
      <c r="I248" s="40"/>
    </row>
    <row r="249" spans="1:21">
      <c r="B249" s="37"/>
      <c r="D249" s="39"/>
      <c r="E249" s="40"/>
      <c r="F249" s="40"/>
      <c r="G249" s="40"/>
      <c r="H249" s="40"/>
      <c r="I249" s="40"/>
    </row>
    <row r="250" spans="1:21">
      <c r="B250" s="37"/>
      <c r="D250" s="39"/>
      <c r="E250" s="40"/>
      <c r="F250" s="40"/>
      <c r="G250" s="40"/>
      <c r="H250" s="40"/>
      <c r="I250" s="40"/>
    </row>
    <row r="251" spans="1:21">
      <c r="B251" s="37"/>
      <c r="D251" s="39"/>
      <c r="E251" s="40"/>
      <c r="F251" s="40"/>
      <c r="G251" s="40"/>
      <c r="H251" s="40"/>
      <c r="I251" s="40"/>
    </row>
    <row r="252" spans="1:21">
      <c r="B252" s="37"/>
      <c r="D252" s="39"/>
      <c r="E252" s="40"/>
      <c r="F252" s="40"/>
      <c r="G252" s="40"/>
      <c r="H252" s="40"/>
      <c r="I252" s="40"/>
    </row>
    <row r="253" spans="1:21">
      <c r="B253" s="37"/>
      <c r="D253" s="39"/>
      <c r="E253" s="40"/>
      <c r="F253" s="40"/>
      <c r="G253" s="40"/>
      <c r="H253" s="40"/>
      <c r="I253" s="40"/>
    </row>
    <row r="254" spans="1:21">
      <c r="B254" s="37"/>
      <c r="D254" s="39"/>
      <c r="E254" s="40"/>
      <c r="F254" s="40"/>
      <c r="G254" s="40"/>
      <c r="H254" s="40"/>
      <c r="I254" s="40"/>
    </row>
    <row r="255" spans="1:21">
      <c r="B255" s="37"/>
      <c r="D255" s="39"/>
      <c r="E255" s="40"/>
      <c r="F255" s="40"/>
      <c r="G255" s="40"/>
      <c r="H255" s="40"/>
      <c r="I255" s="40"/>
    </row>
    <row r="256" spans="1:21">
      <c r="B256" s="37"/>
      <c r="D256" s="39"/>
      <c r="E256" s="40"/>
      <c r="F256" s="40"/>
      <c r="G256" s="40"/>
      <c r="H256" s="40"/>
      <c r="I256" s="40"/>
    </row>
    <row r="257" spans="2:9">
      <c r="B257" s="37"/>
      <c r="D257" s="39"/>
      <c r="E257" s="40"/>
      <c r="F257" s="40"/>
      <c r="G257" s="40"/>
      <c r="H257" s="40"/>
      <c r="I257" s="40"/>
    </row>
    <row r="258" spans="2:9">
      <c r="B258" s="37"/>
      <c r="D258" s="39"/>
      <c r="E258" s="40"/>
      <c r="F258" s="40"/>
      <c r="G258" s="40"/>
      <c r="H258" s="40"/>
      <c r="I258" s="40"/>
    </row>
    <row r="259" spans="2:9">
      <c r="B259" s="37"/>
      <c r="D259" s="39"/>
      <c r="E259" s="40"/>
      <c r="F259" s="40"/>
      <c r="G259" s="40"/>
      <c r="H259" s="40"/>
      <c r="I259" s="40"/>
    </row>
    <row r="260" spans="2:9">
      <c r="B260" s="37"/>
      <c r="D260" s="39"/>
      <c r="E260" s="40"/>
      <c r="F260" s="40"/>
      <c r="G260" s="40"/>
      <c r="H260" s="40"/>
      <c r="I260" s="40"/>
    </row>
    <row r="261" spans="2:9">
      <c r="B261" s="37"/>
      <c r="D261" s="39"/>
      <c r="E261" s="40"/>
      <c r="F261" s="40"/>
      <c r="G261" s="40"/>
      <c r="H261" s="40"/>
      <c r="I261" s="40"/>
    </row>
    <row r="262" spans="2:9">
      <c r="B262" s="37"/>
      <c r="D262" s="39"/>
      <c r="E262" s="40"/>
      <c r="F262" s="40"/>
      <c r="G262" s="40"/>
      <c r="H262" s="40"/>
      <c r="I262" s="40"/>
    </row>
    <row r="263" spans="2:9">
      <c r="B263" s="37"/>
      <c r="D263" s="39"/>
      <c r="E263" s="40"/>
      <c r="F263" s="40"/>
      <c r="G263" s="40"/>
      <c r="H263" s="40"/>
      <c r="I263" s="40"/>
    </row>
    <row r="264" spans="2:9">
      <c r="B264" s="37"/>
      <c r="D264" s="39"/>
      <c r="E264" s="40"/>
      <c r="F264" s="40"/>
      <c r="G264" s="40"/>
      <c r="H264" s="40"/>
      <c r="I264" s="40"/>
    </row>
    <row r="265" spans="2:9">
      <c r="B265" s="37"/>
      <c r="D265" s="39"/>
      <c r="E265" s="40"/>
      <c r="F265" s="40"/>
      <c r="G265" s="40"/>
      <c r="H265" s="40"/>
      <c r="I265" s="40"/>
    </row>
    <row r="266" spans="2:9">
      <c r="B266" s="37"/>
      <c r="D266" s="39"/>
      <c r="E266" s="40"/>
      <c r="F266" s="40"/>
      <c r="G266" s="40"/>
      <c r="H266" s="40"/>
      <c r="I266" s="40"/>
    </row>
    <row r="267" spans="2:9">
      <c r="B267" s="37"/>
      <c r="D267" s="39"/>
      <c r="E267" s="40"/>
      <c r="F267" s="40"/>
      <c r="G267" s="40"/>
      <c r="H267" s="40"/>
      <c r="I267" s="40"/>
    </row>
    <row r="268" spans="2:9">
      <c r="B268" s="37"/>
      <c r="D268" s="39"/>
      <c r="E268" s="40"/>
      <c r="F268" s="40"/>
      <c r="G268" s="40"/>
      <c r="H268" s="40"/>
      <c r="I268" s="40"/>
    </row>
    <row r="269" spans="2:9">
      <c r="B269" s="37"/>
      <c r="D269" s="39"/>
      <c r="E269" s="40"/>
      <c r="F269" s="40"/>
      <c r="G269" s="40"/>
      <c r="H269" s="40"/>
      <c r="I269" s="40"/>
    </row>
    <row r="270" spans="2:9">
      <c r="B270" s="37"/>
      <c r="D270" s="39"/>
      <c r="E270" s="40"/>
      <c r="F270" s="40"/>
      <c r="G270" s="40"/>
      <c r="H270" s="40"/>
      <c r="I270" s="40"/>
    </row>
    <row r="271" spans="2:9">
      <c r="B271" s="37"/>
      <c r="D271" s="39"/>
      <c r="E271" s="40"/>
      <c r="F271" s="40"/>
      <c r="G271" s="40"/>
      <c r="H271" s="40"/>
      <c r="I271" s="40"/>
    </row>
    <row r="272" spans="2:9">
      <c r="B272" s="37"/>
      <c r="D272" s="39"/>
      <c r="E272" s="40"/>
      <c r="F272" s="40"/>
      <c r="G272" s="40"/>
      <c r="H272" s="40"/>
      <c r="I272" s="40"/>
    </row>
    <row r="273" spans="2:9">
      <c r="B273" s="37"/>
      <c r="D273" s="39"/>
      <c r="E273" s="40"/>
      <c r="F273" s="40"/>
      <c r="G273" s="40"/>
      <c r="H273" s="40"/>
      <c r="I273" s="40"/>
    </row>
    <row r="274" spans="2:9">
      <c r="B274" s="37"/>
      <c r="D274" s="39"/>
      <c r="E274" s="40"/>
      <c r="F274" s="40"/>
      <c r="G274" s="40"/>
      <c r="H274" s="40"/>
      <c r="I274" s="40"/>
    </row>
    <row r="275" spans="2:9">
      <c r="B275" s="37"/>
      <c r="D275" s="39"/>
      <c r="E275" s="40"/>
      <c r="F275" s="40"/>
      <c r="G275" s="40"/>
      <c r="H275" s="40"/>
      <c r="I275" s="40"/>
    </row>
    <row r="276" spans="2:9">
      <c r="B276" s="37"/>
      <c r="D276" s="39"/>
      <c r="E276" s="40"/>
      <c r="F276" s="40"/>
      <c r="G276" s="40"/>
      <c r="H276" s="40"/>
      <c r="I276" s="40"/>
    </row>
    <row r="277" spans="2:9">
      <c r="B277" s="37"/>
      <c r="D277" s="39"/>
      <c r="E277" s="40"/>
      <c r="F277" s="40"/>
      <c r="G277" s="40"/>
      <c r="H277" s="40"/>
      <c r="I277" s="40"/>
    </row>
    <row r="278" spans="2:9">
      <c r="B278" s="37"/>
      <c r="D278" s="39"/>
      <c r="E278" s="40"/>
      <c r="F278" s="40"/>
      <c r="G278" s="40"/>
      <c r="H278" s="40"/>
      <c r="I278" s="40"/>
    </row>
    <row r="279" spans="2:9">
      <c r="B279" s="37"/>
      <c r="D279" s="39"/>
      <c r="E279" s="40"/>
      <c r="F279" s="40"/>
      <c r="G279" s="40"/>
      <c r="H279" s="40"/>
      <c r="I279" s="40"/>
    </row>
    <row r="280" spans="2:9">
      <c r="B280" s="37"/>
    </row>
    <row r="281" spans="2:9">
      <c r="B281" s="41"/>
    </row>
    <row r="282" spans="2:9">
      <c r="B282" s="41"/>
    </row>
    <row r="283" spans="2:9">
      <c r="B283" s="41"/>
    </row>
    <row r="284" spans="2:9">
      <c r="B284" s="41"/>
    </row>
    <row r="285" spans="2:9">
      <c r="B285" s="41"/>
    </row>
    <row r="286" spans="2:9">
      <c r="B286" s="41"/>
      <c r="C286" s="1"/>
      <c r="D286" s="1"/>
      <c r="E286" s="1"/>
      <c r="F286" s="1"/>
      <c r="G286" s="1"/>
    </row>
    <row r="287" spans="2:9">
      <c r="B287" s="41"/>
      <c r="C287" s="1"/>
      <c r="D287" s="1"/>
      <c r="E287" s="1"/>
      <c r="F287" s="1"/>
      <c r="G287" s="1"/>
    </row>
    <row r="288" spans="2:9">
      <c r="B288" s="41"/>
      <c r="C288" s="1"/>
      <c r="D288" s="1"/>
      <c r="E288" s="1"/>
      <c r="F288" s="1"/>
      <c r="G288" s="1"/>
    </row>
    <row r="289" spans="2:7">
      <c r="B289" s="41"/>
      <c r="C289" s="1"/>
      <c r="D289" s="1"/>
      <c r="E289" s="1"/>
      <c r="F289" s="1"/>
      <c r="G289" s="1"/>
    </row>
    <row r="290" spans="2:7">
      <c r="B290" s="41"/>
      <c r="C290" s="1"/>
      <c r="D290" s="1"/>
      <c r="E290" s="1"/>
      <c r="F290" s="1"/>
      <c r="G290" s="1"/>
    </row>
    <row r="291" spans="2:7">
      <c r="B291" s="41"/>
      <c r="C291" s="1"/>
      <c r="D291" s="1"/>
      <c r="E291" s="1"/>
      <c r="F291" s="1"/>
      <c r="G291" s="1"/>
    </row>
    <row r="292" spans="2:7">
      <c r="B292" s="41"/>
      <c r="C292" s="1"/>
      <c r="D292" s="1"/>
      <c r="E292" s="1"/>
      <c r="F292" s="1"/>
      <c r="G292" s="1"/>
    </row>
    <row r="293" spans="2:7">
      <c r="B293" s="41"/>
      <c r="C293" s="1"/>
      <c r="D293" s="1"/>
      <c r="E293" s="1"/>
      <c r="F293" s="1"/>
      <c r="G293" s="1"/>
    </row>
    <row r="294" spans="2:7">
      <c r="B294" s="41"/>
      <c r="C294" s="1"/>
      <c r="D294" s="1"/>
      <c r="E294" s="1"/>
      <c r="F294" s="1"/>
      <c r="G294" s="1"/>
    </row>
    <row r="295" spans="2:7">
      <c r="B295" s="41"/>
      <c r="C295" s="1"/>
      <c r="D295" s="1"/>
      <c r="E295" s="1"/>
      <c r="F295" s="1"/>
      <c r="G295" s="1"/>
    </row>
    <row r="296" spans="2:7">
      <c r="B296" s="41"/>
      <c r="C296" s="1"/>
      <c r="D296" s="1"/>
      <c r="E296" s="1"/>
      <c r="F296" s="1"/>
      <c r="G296" s="1"/>
    </row>
    <row r="297" spans="2:7">
      <c r="B297" s="41"/>
      <c r="C297" s="1"/>
      <c r="D297" s="1"/>
      <c r="E297" s="1"/>
      <c r="F297" s="1"/>
      <c r="G297" s="1"/>
    </row>
    <row r="298" spans="2:7">
      <c r="B298" s="41"/>
      <c r="C298" s="1"/>
      <c r="D298" s="1"/>
      <c r="E298" s="1"/>
      <c r="F298" s="1"/>
      <c r="G298" s="1"/>
    </row>
    <row r="299" spans="2:7">
      <c r="B299" s="41"/>
      <c r="C299" s="1"/>
      <c r="D299" s="1"/>
      <c r="E299" s="1"/>
      <c r="F299" s="1"/>
      <c r="G299" s="1"/>
    </row>
    <row r="300" spans="2:7">
      <c r="B300" s="41"/>
      <c r="C300" s="1"/>
      <c r="D300" s="1"/>
      <c r="E300" s="1"/>
      <c r="F300" s="1"/>
      <c r="G300" s="1"/>
    </row>
    <row r="301" spans="2:7">
      <c r="B301" s="41"/>
      <c r="C301" s="1"/>
      <c r="D301" s="1"/>
      <c r="E301" s="1"/>
      <c r="F301" s="1"/>
      <c r="G301" s="1"/>
    </row>
    <row r="302" spans="2:7">
      <c r="B302" s="41"/>
      <c r="C302" s="1"/>
      <c r="D302" s="1"/>
      <c r="E302" s="1"/>
      <c r="F302" s="1"/>
      <c r="G302" s="1"/>
    </row>
    <row r="303" spans="2:7">
      <c r="B303" s="41"/>
      <c r="C303" s="1"/>
      <c r="D303" s="1"/>
      <c r="E303" s="1"/>
      <c r="F303" s="1"/>
      <c r="G303" s="1"/>
    </row>
    <row r="304" spans="2:7">
      <c r="B304" s="41"/>
      <c r="C304" s="1"/>
      <c r="D304" s="1"/>
      <c r="E304" s="1"/>
      <c r="F304" s="1"/>
      <c r="G304" s="1"/>
    </row>
    <row r="305" spans="2:7">
      <c r="B305" s="41"/>
      <c r="C305" s="1"/>
      <c r="D305" s="1"/>
      <c r="E305" s="1"/>
      <c r="F305" s="1"/>
      <c r="G305" s="1"/>
    </row>
    <row r="306" spans="2:7">
      <c r="B306" s="41"/>
      <c r="C306" s="1"/>
      <c r="D306" s="1"/>
      <c r="E306" s="1"/>
      <c r="F306" s="1"/>
      <c r="G306" s="1"/>
    </row>
    <row r="307" spans="2:7">
      <c r="B307" s="41"/>
      <c r="C307" s="1"/>
      <c r="D307" s="1"/>
      <c r="E307" s="1"/>
      <c r="F307" s="1"/>
      <c r="G307" s="1"/>
    </row>
    <row r="308" spans="2:7">
      <c r="B308" s="41"/>
      <c r="C308" s="1"/>
      <c r="D308" s="1"/>
      <c r="E308" s="1"/>
      <c r="F308" s="1"/>
      <c r="G308" s="1"/>
    </row>
    <row r="309" spans="2:7">
      <c r="B309" s="41"/>
      <c r="C309" s="1"/>
      <c r="D309" s="1"/>
      <c r="E309" s="1"/>
      <c r="F309" s="1"/>
      <c r="G309" s="1"/>
    </row>
    <row r="310" spans="2:7">
      <c r="B310" s="41"/>
      <c r="C310" s="1"/>
      <c r="D310" s="1"/>
      <c r="E310" s="1"/>
      <c r="F310" s="1"/>
      <c r="G310" s="1"/>
    </row>
    <row r="311" spans="2:7">
      <c r="B311" s="41"/>
      <c r="C311" s="1"/>
      <c r="D311" s="1"/>
      <c r="E311" s="1"/>
      <c r="F311" s="1"/>
      <c r="G311" s="1"/>
    </row>
    <row r="312" spans="2:7">
      <c r="B312" s="41"/>
      <c r="C312" s="1"/>
      <c r="D312" s="1"/>
      <c r="E312" s="1"/>
      <c r="F312" s="1"/>
      <c r="G312" s="1"/>
    </row>
    <row r="313" spans="2:7">
      <c r="B313" s="41"/>
      <c r="C313" s="1"/>
      <c r="D313" s="1"/>
      <c r="E313" s="1"/>
      <c r="F313" s="1"/>
      <c r="G313" s="1"/>
    </row>
    <row r="314" spans="2:7">
      <c r="B314" s="41"/>
      <c r="C314" s="1"/>
      <c r="D314" s="1"/>
      <c r="E314" s="1"/>
      <c r="F314" s="1"/>
      <c r="G314" s="1"/>
    </row>
    <row r="315" spans="2:7">
      <c r="B315" s="41"/>
      <c r="C315" s="1"/>
      <c r="D315" s="1"/>
      <c r="E315" s="1"/>
      <c r="F315" s="1"/>
      <c r="G315" s="1"/>
    </row>
    <row r="316" spans="2:7">
      <c r="B316" s="41"/>
      <c r="C316" s="1"/>
      <c r="D316" s="1"/>
      <c r="E316" s="1"/>
      <c r="F316" s="1"/>
      <c r="G316" s="1"/>
    </row>
    <row r="317" spans="2:7">
      <c r="B317" s="41"/>
      <c r="C317" s="1"/>
      <c r="D317" s="1"/>
      <c r="E317" s="1"/>
      <c r="F317" s="1"/>
      <c r="G317" s="1"/>
    </row>
    <row r="318" spans="2:7">
      <c r="B318" s="41"/>
      <c r="C318" s="1"/>
      <c r="D318" s="1"/>
      <c r="E318" s="1"/>
      <c r="F318" s="1"/>
      <c r="G318" s="1"/>
    </row>
    <row r="319" spans="2:7">
      <c r="B319" s="41"/>
      <c r="C319" s="1"/>
      <c r="D319" s="1"/>
      <c r="E319" s="1"/>
      <c r="F319" s="1"/>
      <c r="G319" s="1"/>
    </row>
    <row r="320" spans="2:7">
      <c r="B320" s="41"/>
      <c r="C320" s="1"/>
      <c r="D320" s="1"/>
      <c r="E320" s="1"/>
      <c r="F320" s="1"/>
      <c r="G320" s="1"/>
    </row>
    <row r="321" spans="2:7">
      <c r="B321" s="41"/>
      <c r="C321" s="1"/>
      <c r="D321" s="1"/>
      <c r="E321" s="1"/>
      <c r="F321" s="1"/>
      <c r="G321" s="1"/>
    </row>
    <row r="322" spans="2:7">
      <c r="B322" s="41"/>
      <c r="C322" s="1"/>
      <c r="D322" s="1"/>
      <c r="E322" s="1"/>
      <c r="F322" s="1"/>
      <c r="G322" s="1"/>
    </row>
    <row r="323" spans="2:7">
      <c r="B323" s="41"/>
      <c r="C323" s="1"/>
      <c r="D323" s="1"/>
      <c r="E323" s="1"/>
      <c r="F323" s="1"/>
      <c r="G323" s="1"/>
    </row>
    <row r="324" spans="2:7">
      <c r="B324" s="41"/>
      <c r="C324" s="1"/>
      <c r="D324" s="1"/>
      <c r="E324" s="1"/>
      <c r="F324" s="1"/>
      <c r="G324" s="1"/>
    </row>
    <row r="325" spans="2:7">
      <c r="B325" s="41"/>
      <c r="C325" s="1"/>
      <c r="D325" s="1"/>
      <c r="E325" s="1"/>
      <c r="F325" s="1"/>
      <c r="G325" s="1"/>
    </row>
    <row r="326" spans="2:7">
      <c r="B326" s="41"/>
      <c r="C326" s="1"/>
      <c r="D326" s="1"/>
      <c r="E326" s="1"/>
      <c r="F326" s="1"/>
      <c r="G326" s="1"/>
    </row>
    <row r="327" spans="2:7">
      <c r="B327" s="41"/>
      <c r="C327" s="1"/>
      <c r="D327" s="1"/>
      <c r="E327" s="1"/>
      <c r="F327" s="1"/>
      <c r="G327" s="1"/>
    </row>
    <row r="328" spans="2:7">
      <c r="B328" s="41"/>
      <c r="C328" s="1"/>
      <c r="D328" s="1"/>
      <c r="E328" s="1"/>
      <c r="F328" s="1"/>
      <c r="G328" s="1"/>
    </row>
    <row r="329" spans="2:7">
      <c r="B329" s="41"/>
      <c r="C329" s="1"/>
      <c r="D329" s="1"/>
      <c r="E329" s="1"/>
      <c r="F329" s="1"/>
      <c r="G329" s="1"/>
    </row>
    <row r="330" spans="2:7">
      <c r="B330" s="41"/>
      <c r="C330" s="1"/>
      <c r="D330" s="1"/>
      <c r="E330" s="1"/>
      <c r="F330" s="1"/>
      <c r="G330" s="1"/>
    </row>
    <row r="331" spans="2:7">
      <c r="B331" s="41"/>
      <c r="C331" s="1"/>
      <c r="D331" s="1"/>
      <c r="E331" s="1"/>
      <c r="F331" s="1"/>
      <c r="G331" s="1"/>
    </row>
    <row r="332" spans="2:7">
      <c r="B332" s="41"/>
      <c r="C332" s="1"/>
      <c r="D332" s="1"/>
      <c r="E332" s="1"/>
      <c r="F332" s="1"/>
      <c r="G332" s="1"/>
    </row>
    <row r="333" spans="2:7">
      <c r="B333" s="41"/>
      <c r="C333" s="1"/>
      <c r="D333" s="1"/>
      <c r="E333" s="1"/>
      <c r="F333" s="1"/>
      <c r="G333" s="1"/>
    </row>
    <row r="334" spans="2:7">
      <c r="B334" s="41"/>
      <c r="C334" s="1"/>
      <c r="D334" s="1"/>
      <c r="E334" s="1"/>
      <c r="F334" s="1"/>
      <c r="G334" s="1"/>
    </row>
    <row r="335" spans="2:7">
      <c r="B335" s="41"/>
      <c r="C335" s="1"/>
      <c r="D335" s="1"/>
      <c r="E335" s="1"/>
      <c r="F335" s="1"/>
      <c r="G335" s="1"/>
    </row>
    <row r="336" spans="2:7">
      <c r="B336" s="41"/>
      <c r="C336" s="1"/>
      <c r="D336" s="1"/>
      <c r="E336" s="1"/>
      <c r="F336" s="1"/>
      <c r="G336" s="1"/>
    </row>
    <row r="337" spans="2:7">
      <c r="B337" s="41"/>
      <c r="C337" s="1"/>
      <c r="D337" s="1"/>
      <c r="E337" s="1"/>
      <c r="F337" s="1"/>
      <c r="G337" s="1"/>
    </row>
    <row r="338" spans="2:7">
      <c r="B338" s="41"/>
      <c r="C338" s="1"/>
      <c r="D338" s="1"/>
      <c r="E338" s="1"/>
      <c r="F338" s="1"/>
      <c r="G338" s="1"/>
    </row>
    <row r="339" spans="2:7">
      <c r="B339" s="41"/>
      <c r="C339" s="1"/>
      <c r="D339" s="1"/>
      <c r="E339" s="1"/>
      <c r="F339" s="1"/>
      <c r="G339" s="1"/>
    </row>
    <row r="340" spans="2:7">
      <c r="B340" s="41"/>
      <c r="C340" s="1"/>
      <c r="D340" s="1"/>
      <c r="E340" s="1"/>
      <c r="F340" s="1"/>
      <c r="G340" s="1"/>
    </row>
    <row r="341" spans="2:7">
      <c r="B341" s="41"/>
      <c r="C341" s="1"/>
      <c r="D341" s="1"/>
      <c r="E341" s="1"/>
      <c r="F341" s="1"/>
      <c r="G341" s="1"/>
    </row>
    <row r="342" spans="2:7">
      <c r="B342" s="41"/>
      <c r="C342" s="1"/>
      <c r="D342" s="1"/>
      <c r="E342" s="1"/>
      <c r="F342" s="1"/>
      <c r="G342" s="1"/>
    </row>
    <row r="343" spans="2:7">
      <c r="B343" s="41"/>
      <c r="C343" s="1"/>
      <c r="D343" s="1"/>
      <c r="E343" s="1"/>
      <c r="F343" s="1"/>
      <c r="G343" s="1"/>
    </row>
    <row r="344" spans="2:7">
      <c r="B344" s="41"/>
      <c r="C344" s="1"/>
      <c r="D344" s="1"/>
      <c r="E344" s="1"/>
      <c r="F344" s="1"/>
      <c r="G344" s="1"/>
    </row>
    <row r="345" spans="2:7">
      <c r="B345" s="41"/>
      <c r="C345" s="1"/>
      <c r="D345" s="1"/>
      <c r="E345" s="1"/>
      <c r="F345" s="1"/>
      <c r="G345" s="1"/>
    </row>
    <row r="346" spans="2:7">
      <c r="B346" s="41"/>
      <c r="C346" s="1"/>
      <c r="D346" s="1"/>
      <c r="E346" s="1"/>
      <c r="F346" s="1"/>
      <c r="G346" s="1"/>
    </row>
    <row r="347" spans="2:7">
      <c r="B347" s="41"/>
      <c r="C347" s="1"/>
      <c r="D347" s="1"/>
      <c r="E347" s="1"/>
      <c r="F347" s="1"/>
      <c r="G347" s="1"/>
    </row>
    <row r="348" spans="2:7">
      <c r="B348" s="41"/>
      <c r="C348" s="1"/>
      <c r="D348" s="1"/>
      <c r="E348" s="1"/>
      <c r="F348" s="1"/>
      <c r="G348" s="1"/>
    </row>
    <row r="349" spans="2:7">
      <c r="B349" s="41"/>
      <c r="C349" s="1"/>
      <c r="D349" s="1"/>
      <c r="E349" s="1"/>
      <c r="F349" s="1"/>
      <c r="G349" s="1"/>
    </row>
    <row r="350" spans="2:7">
      <c r="B350" s="41"/>
      <c r="C350" s="1"/>
      <c r="D350" s="1"/>
      <c r="E350" s="1"/>
      <c r="F350" s="1"/>
      <c r="G350" s="1"/>
    </row>
    <row r="351" spans="2:7">
      <c r="B351" s="41"/>
      <c r="C351" s="1"/>
      <c r="D351" s="1"/>
      <c r="E351" s="1"/>
      <c r="F351" s="1"/>
      <c r="G351" s="1"/>
    </row>
    <row r="352" spans="2:7">
      <c r="B352" s="41"/>
      <c r="C352" s="1"/>
      <c r="D352" s="1"/>
      <c r="E352" s="1"/>
      <c r="F352" s="1"/>
      <c r="G352" s="1"/>
    </row>
    <row r="353" spans="2:7">
      <c r="B353" s="41"/>
      <c r="C353" s="1"/>
      <c r="D353" s="1"/>
      <c r="E353" s="1"/>
      <c r="F353" s="1"/>
      <c r="G353" s="1"/>
    </row>
    <row r="354" spans="2:7">
      <c r="B354" s="41"/>
      <c r="C354" s="1"/>
      <c r="D354" s="1"/>
      <c r="E354" s="1"/>
      <c r="F354" s="1"/>
      <c r="G354" s="1"/>
    </row>
    <row r="355" spans="2:7">
      <c r="B355" s="41"/>
      <c r="C355" s="1"/>
      <c r="D355" s="1"/>
      <c r="E355" s="1"/>
      <c r="F355" s="1"/>
      <c r="G355" s="1"/>
    </row>
    <row r="356" spans="2:7">
      <c r="B356" s="41"/>
      <c r="C356" s="1"/>
      <c r="D356" s="1"/>
      <c r="E356" s="1"/>
      <c r="F356" s="1"/>
      <c r="G356" s="1"/>
    </row>
    <row r="357" spans="2:7">
      <c r="B357" s="41"/>
      <c r="C357" s="1"/>
      <c r="D357" s="1"/>
      <c r="E357" s="1"/>
      <c r="F357" s="1"/>
      <c r="G357" s="1"/>
    </row>
    <row r="358" spans="2:7">
      <c r="B358" s="41"/>
      <c r="C358" s="1"/>
      <c r="D358" s="1"/>
      <c r="E358" s="1"/>
      <c r="F358" s="1"/>
      <c r="G358" s="1"/>
    </row>
    <row r="359" spans="2:7">
      <c r="B359" s="41"/>
      <c r="C359" s="1"/>
      <c r="D359" s="1"/>
      <c r="E359" s="1"/>
      <c r="F359" s="1"/>
      <c r="G359" s="1"/>
    </row>
    <row r="360" spans="2:7">
      <c r="B360" s="41"/>
      <c r="C360" s="1"/>
      <c r="D360" s="1"/>
      <c r="E360" s="1"/>
      <c r="F360" s="1"/>
      <c r="G360" s="1"/>
    </row>
    <row r="361" spans="2:7">
      <c r="B361" s="41"/>
      <c r="C361" s="1"/>
      <c r="D361" s="1"/>
      <c r="E361" s="1"/>
      <c r="F361" s="1"/>
      <c r="G361" s="1"/>
    </row>
    <row r="362" spans="2:7">
      <c r="B362" s="41"/>
      <c r="C362" s="1"/>
      <c r="D362" s="1"/>
      <c r="E362" s="1"/>
      <c r="F362" s="1"/>
      <c r="G362" s="1"/>
    </row>
    <row r="363" spans="2:7">
      <c r="B363" s="41"/>
      <c r="C363" s="1"/>
      <c r="D363" s="1"/>
      <c r="E363" s="1"/>
      <c r="F363" s="1"/>
      <c r="G363" s="1"/>
    </row>
    <row r="364" spans="2:7">
      <c r="B364" s="41"/>
      <c r="C364" s="1"/>
      <c r="D364" s="1"/>
      <c r="E364" s="1"/>
      <c r="F364" s="1"/>
      <c r="G364" s="1"/>
    </row>
    <row r="365" spans="2:7">
      <c r="B365" s="41"/>
      <c r="C365" s="1"/>
      <c r="D365" s="1"/>
      <c r="E365" s="1"/>
      <c r="F365" s="1"/>
      <c r="G365" s="1"/>
    </row>
    <row r="366" spans="2:7">
      <c r="B366" s="41"/>
      <c r="C366" s="1"/>
      <c r="D366" s="1"/>
      <c r="E366" s="1"/>
      <c r="F366" s="1"/>
      <c r="G366" s="1"/>
    </row>
    <row r="367" spans="2:7">
      <c r="B367" s="41"/>
      <c r="C367" s="1"/>
      <c r="D367" s="1"/>
      <c r="E367" s="1"/>
      <c r="F367" s="1"/>
      <c r="G367" s="1"/>
    </row>
    <row r="368" spans="2:7">
      <c r="B368" s="41"/>
      <c r="C368" s="1"/>
      <c r="D368" s="1"/>
      <c r="E368" s="1"/>
      <c r="F368" s="1"/>
      <c r="G368" s="1"/>
    </row>
    <row r="369" spans="2:7">
      <c r="B369" s="41"/>
      <c r="C369" s="1"/>
      <c r="D369" s="1"/>
      <c r="E369" s="1"/>
      <c r="F369" s="1"/>
      <c r="G369" s="1"/>
    </row>
    <row r="370" spans="2:7">
      <c r="B370" s="41"/>
      <c r="C370" s="1"/>
      <c r="D370" s="1"/>
      <c r="E370" s="1"/>
      <c r="F370" s="1"/>
      <c r="G370" s="1"/>
    </row>
    <row r="371" spans="2:7">
      <c r="B371" s="41"/>
      <c r="C371" s="1"/>
      <c r="D371" s="1"/>
      <c r="E371" s="1"/>
      <c r="F371" s="1"/>
      <c r="G371" s="1"/>
    </row>
    <row r="372" spans="2:7">
      <c r="B372" s="41"/>
      <c r="C372" s="1"/>
      <c r="D372" s="1"/>
      <c r="E372" s="1"/>
      <c r="F372" s="1"/>
      <c r="G372" s="1"/>
    </row>
    <row r="373" spans="2:7">
      <c r="B373" s="41"/>
      <c r="C373" s="1"/>
      <c r="D373" s="1"/>
      <c r="E373" s="1"/>
      <c r="F373" s="1"/>
      <c r="G373" s="1"/>
    </row>
    <row r="374" spans="2:7">
      <c r="B374" s="41"/>
      <c r="C374" s="1"/>
      <c r="D374" s="1"/>
      <c r="E374" s="1"/>
      <c r="F374" s="1"/>
      <c r="G374" s="1"/>
    </row>
    <row r="375" spans="2:7">
      <c r="B375" s="41"/>
      <c r="C375" s="1"/>
      <c r="D375" s="1"/>
      <c r="E375" s="1"/>
      <c r="F375" s="1"/>
      <c r="G375" s="1"/>
    </row>
    <row r="376" spans="2:7">
      <c r="B376" s="41"/>
      <c r="C376" s="1"/>
      <c r="D376" s="1"/>
      <c r="E376" s="1"/>
      <c r="F376" s="1"/>
      <c r="G376" s="1"/>
    </row>
    <row r="377" spans="2:7">
      <c r="B377" s="41"/>
      <c r="C377" s="1"/>
      <c r="D377" s="1"/>
      <c r="E377" s="1"/>
      <c r="F377" s="1"/>
      <c r="G377" s="1"/>
    </row>
    <row r="378" spans="2:7">
      <c r="B378" s="41"/>
      <c r="C378" s="1"/>
      <c r="D378" s="1"/>
      <c r="E378" s="1"/>
      <c r="F378" s="1"/>
      <c r="G378" s="1"/>
    </row>
    <row r="379" spans="2:7">
      <c r="B379" s="41"/>
      <c r="C379" s="1"/>
      <c r="D379" s="1"/>
      <c r="E379" s="1"/>
      <c r="F379" s="1"/>
      <c r="G379" s="1"/>
    </row>
    <row r="380" spans="2:7">
      <c r="B380" s="41"/>
      <c r="C380" s="1"/>
      <c r="D380" s="1"/>
      <c r="E380" s="1"/>
      <c r="F380" s="1"/>
      <c r="G380" s="1"/>
    </row>
    <row r="381" spans="2:7">
      <c r="B381" s="41"/>
      <c r="C381" s="1"/>
      <c r="D381" s="1"/>
      <c r="E381" s="1"/>
      <c r="F381" s="1"/>
      <c r="G381" s="1"/>
    </row>
    <row r="382" spans="2:7">
      <c r="B382" s="41"/>
      <c r="C382" s="1"/>
      <c r="D382" s="1"/>
      <c r="E382" s="1"/>
      <c r="F382" s="1"/>
      <c r="G382" s="1"/>
    </row>
    <row r="383" spans="2:7">
      <c r="B383" s="41"/>
      <c r="C383" s="1"/>
      <c r="D383" s="1"/>
      <c r="E383" s="1"/>
      <c r="F383" s="1"/>
      <c r="G383" s="1"/>
    </row>
    <row r="384" spans="2:7">
      <c r="B384" s="41"/>
      <c r="C384" s="1"/>
      <c r="D384" s="1"/>
      <c r="E384" s="1"/>
      <c r="F384" s="1"/>
      <c r="G384" s="1"/>
    </row>
    <row r="385" spans="2:7">
      <c r="B385" s="41"/>
      <c r="C385" s="1"/>
      <c r="D385" s="1"/>
      <c r="E385" s="1"/>
      <c r="F385" s="1"/>
      <c r="G385" s="1"/>
    </row>
    <row r="386" spans="2:7">
      <c r="B386" s="41"/>
      <c r="C386" s="1"/>
      <c r="D386" s="1"/>
      <c r="E386" s="1"/>
      <c r="F386" s="1"/>
      <c r="G386" s="1"/>
    </row>
    <row r="387" spans="2:7">
      <c r="B387" s="41"/>
      <c r="C387" s="1"/>
      <c r="D387" s="1"/>
      <c r="E387" s="1"/>
      <c r="F387" s="1"/>
      <c r="G387" s="1"/>
    </row>
    <row r="388" spans="2:7">
      <c r="B388" s="41"/>
      <c r="C388" s="1"/>
      <c r="D388" s="1"/>
      <c r="E388" s="1"/>
      <c r="F388" s="1"/>
      <c r="G388" s="1"/>
    </row>
    <row r="389" spans="2:7">
      <c r="B389" s="41"/>
      <c r="C389" s="1"/>
      <c r="D389" s="1"/>
      <c r="E389" s="1"/>
      <c r="F389" s="1"/>
      <c r="G389" s="1"/>
    </row>
    <row r="390" spans="2:7">
      <c r="B390" s="41"/>
      <c r="C390" s="1"/>
      <c r="D390" s="1"/>
      <c r="E390" s="1"/>
      <c r="F390" s="1"/>
      <c r="G390" s="1"/>
    </row>
    <row r="391" spans="2:7">
      <c r="B391" s="41"/>
      <c r="C391" s="1"/>
      <c r="D391" s="1"/>
      <c r="E391" s="1"/>
      <c r="F391" s="1"/>
      <c r="G391" s="1"/>
    </row>
    <row r="392" spans="2:7">
      <c r="B392" s="41"/>
      <c r="C392" s="1"/>
      <c r="D392" s="1"/>
      <c r="E392" s="1"/>
      <c r="F392" s="1"/>
      <c r="G392" s="1"/>
    </row>
    <row r="393" spans="2:7">
      <c r="B393" s="41"/>
      <c r="C393" s="1"/>
      <c r="D393" s="1"/>
      <c r="E393" s="1"/>
      <c r="F393" s="1"/>
      <c r="G393" s="1"/>
    </row>
    <row r="394" spans="2:7">
      <c r="B394" s="41"/>
      <c r="C394" s="1"/>
      <c r="D394" s="1"/>
      <c r="E394" s="1"/>
      <c r="F394" s="1"/>
      <c r="G394" s="1"/>
    </row>
    <row r="395" spans="2:7">
      <c r="B395" s="41"/>
      <c r="C395" s="1"/>
      <c r="D395" s="1"/>
      <c r="E395" s="1"/>
      <c r="F395" s="1"/>
      <c r="G395" s="1"/>
    </row>
    <row r="396" spans="2:7">
      <c r="B396" s="41"/>
      <c r="C396" s="1"/>
      <c r="D396" s="1"/>
      <c r="E396" s="1"/>
      <c r="F396" s="1"/>
      <c r="G396" s="1"/>
    </row>
    <row r="397" spans="2:7">
      <c r="B397" s="41"/>
      <c r="C397" s="1"/>
      <c r="D397" s="1"/>
      <c r="E397" s="1"/>
      <c r="F397" s="1"/>
      <c r="G397" s="1"/>
    </row>
    <row r="398" spans="2:7">
      <c r="B398" s="41"/>
      <c r="C398" s="1"/>
      <c r="D398" s="1"/>
      <c r="E398" s="1"/>
      <c r="F398" s="1"/>
      <c r="G398" s="1"/>
    </row>
    <row r="399" spans="2:7">
      <c r="B399" s="41"/>
      <c r="C399" s="1"/>
      <c r="D399" s="1"/>
      <c r="E399" s="1"/>
      <c r="F399" s="1"/>
      <c r="G399" s="1"/>
    </row>
    <row r="400" spans="2:7">
      <c r="B400" s="41"/>
      <c r="C400" s="1"/>
      <c r="D400" s="1"/>
      <c r="E400" s="1"/>
      <c r="F400" s="1"/>
      <c r="G400" s="1"/>
    </row>
    <row r="401" spans="2:7">
      <c r="B401" s="41"/>
      <c r="C401" s="1"/>
      <c r="D401" s="1"/>
      <c r="E401" s="1"/>
      <c r="F401" s="1"/>
      <c r="G401" s="1"/>
    </row>
    <row r="402" spans="2:7">
      <c r="B402" s="41"/>
      <c r="C402" s="1"/>
      <c r="D402" s="1"/>
      <c r="E402" s="1"/>
      <c r="F402" s="1"/>
      <c r="G402" s="1"/>
    </row>
    <row r="403" spans="2:7">
      <c r="B403" s="41"/>
      <c r="C403" s="1"/>
      <c r="D403" s="1"/>
      <c r="E403" s="1"/>
      <c r="F403" s="1"/>
      <c r="G403" s="1"/>
    </row>
    <row r="404" spans="2:7">
      <c r="B404" s="41"/>
      <c r="C404" s="1"/>
      <c r="D404" s="1"/>
      <c r="E404" s="1"/>
      <c r="F404" s="1"/>
      <c r="G404" s="1"/>
    </row>
    <row r="405" spans="2:7">
      <c r="B405" s="41"/>
      <c r="C405" s="1"/>
      <c r="D405" s="1"/>
      <c r="E405" s="1"/>
      <c r="F405" s="1"/>
      <c r="G405" s="1"/>
    </row>
    <row r="406" spans="2:7">
      <c r="B406" s="41"/>
      <c r="C406" s="1"/>
      <c r="D406" s="1"/>
      <c r="E406" s="1"/>
      <c r="F406" s="1"/>
      <c r="G406" s="1"/>
    </row>
    <row r="407" spans="2:7">
      <c r="B407" s="41"/>
      <c r="C407" s="1"/>
      <c r="D407" s="1"/>
      <c r="E407" s="1"/>
      <c r="F407" s="1"/>
      <c r="G407" s="1"/>
    </row>
    <row r="408" spans="2:7">
      <c r="B408" s="41"/>
      <c r="C408" s="1"/>
      <c r="D408" s="1"/>
      <c r="E408" s="1"/>
      <c r="F408" s="1"/>
      <c r="G408" s="1"/>
    </row>
    <row r="409" spans="2:7">
      <c r="B409" s="41"/>
      <c r="C409" s="1"/>
      <c r="D409" s="1"/>
      <c r="E409" s="1"/>
      <c r="F409" s="1"/>
      <c r="G409" s="1"/>
    </row>
    <row r="410" spans="2:7">
      <c r="B410" s="41"/>
      <c r="C410" s="1"/>
      <c r="D410" s="1"/>
      <c r="E410" s="1"/>
      <c r="F410" s="1"/>
      <c r="G410" s="1"/>
    </row>
    <row r="411" spans="2:7">
      <c r="B411" s="41"/>
      <c r="C411" s="1"/>
      <c r="D411" s="1"/>
      <c r="E411" s="1"/>
      <c r="F411" s="1"/>
      <c r="G411" s="1"/>
    </row>
    <row r="412" spans="2:7">
      <c r="B412" s="41"/>
      <c r="C412" s="1"/>
      <c r="D412" s="1"/>
      <c r="E412" s="1"/>
      <c r="F412" s="1"/>
      <c r="G412" s="1"/>
    </row>
    <row r="413" spans="2:7">
      <c r="B413" s="41"/>
      <c r="C413" s="1"/>
      <c r="D413" s="1"/>
      <c r="E413" s="1"/>
      <c r="F413" s="1"/>
      <c r="G413" s="1"/>
    </row>
    <row r="414" spans="2:7">
      <c r="B414" s="41"/>
      <c r="C414" s="1"/>
      <c r="D414" s="1"/>
      <c r="E414" s="1"/>
      <c r="F414" s="1"/>
      <c r="G414" s="1"/>
    </row>
    <row r="415" spans="2:7">
      <c r="B415" s="41"/>
      <c r="C415" s="1"/>
      <c r="D415" s="1"/>
      <c r="E415" s="1"/>
      <c r="F415" s="1"/>
      <c r="G415" s="1"/>
    </row>
    <row r="416" spans="2:7">
      <c r="B416" s="41"/>
      <c r="C416" s="1"/>
      <c r="D416" s="1"/>
      <c r="E416" s="1"/>
      <c r="F416" s="1"/>
      <c r="G416" s="1"/>
    </row>
    <row r="417" spans="2:7">
      <c r="B417" s="41"/>
      <c r="C417" s="1"/>
      <c r="D417" s="1"/>
      <c r="E417" s="1"/>
      <c r="F417" s="1"/>
      <c r="G417" s="1"/>
    </row>
    <row r="418" spans="2:7">
      <c r="B418" s="41"/>
      <c r="C418" s="1"/>
      <c r="D418" s="1"/>
      <c r="E418" s="1"/>
      <c r="F418" s="1"/>
      <c r="G418" s="1"/>
    </row>
    <row r="419" spans="2:7">
      <c r="B419" s="41"/>
      <c r="C419" s="1"/>
      <c r="D419" s="1"/>
      <c r="E419" s="1"/>
      <c r="F419" s="1"/>
      <c r="G419" s="1"/>
    </row>
    <row r="420" spans="2:7">
      <c r="B420" s="41"/>
      <c r="C420" s="1"/>
      <c r="D420" s="1"/>
      <c r="E420" s="1"/>
      <c r="F420" s="1"/>
      <c r="G420" s="1"/>
    </row>
    <row r="421" spans="2:7">
      <c r="B421" s="41"/>
      <c r="C421" s="1"/>
      <c r="D421" s="1"/>
      <c r="E421" s="1"/>
      <c r="F421" s="1"/>
      <c r="G421" s="1"/>
    </row>
    <row r="422" spans="2:7">
      <c r="B422" s="41"/>
      <c r="C422" s="1"/>
      <c r="D422" s="1"/>
      <c r="E422" s="1"/>
      <c r="F422" s="1"/>
      <c r="G422" s="1"/>
    </row>
    <row r="423" spans="2:7">
      <c r="B423" s="41"/>
      <c r="C423" s="1"/>
      <c r="D423" s="1"/>
      <c r="E423" s="1"/>
      <c r="F423" s="1"/>
      <c r="G423" s="1"/>
    </row>
    <row r="424" spans="2:7">
      <c r="B424" s="41"/>
      <c r="C424" s="1"/>
      <c r="D424" s="1"/>
      <c r="E424" s="1"/>
      <c r="F424" s="1"/>
      <c r="G424" s="1"/>
    </row>
    <row r="425" spans="2:7">
      <c r="B425" s="41"/>
      <c r="C425" s="1"/>
      <c r="D425" s="1"/>
      <c r="E425" s="1"/>
      <c r="F425" s="1"/>
      <c r="G425" s="1"/>
    </row>
    <row r="426" spans="2:7">
      <c r="B426" s="41"/>
      <c r="C426" s="1"/>
      <c r="D426" s="1"/>
      <c r="E426" s="1"/>
      <c r="F426" s="1"/>
      <c r="G426" s="1"/>
    </row>
    <row r="427" spans="2:7">
      <c r="B427" s="41"/>
      <c r="C427" s="1"/>
      <c r="D427" s="1"/>
      <c r="E427" s="1"/>
      <c r="F427" s="1"/>
      <c r="G427" s="1"/>
    </row>
    <row r="428" spans="2:7">
      <c r="B428" s="41"/>
      <c r="C428" s="1"/>
      <c r="D428" s="1"/>
      <c r="E428" s="1"/>
      <c r="F428" s="1"/>
      <c r="G428" s="1"/>
    </row>
    <row r="429" spans="2:7">
      <c r="B429" s="41"/>
      <c r="C429" s="1"/>
      <c r="D429" s="1"/>
      <c r="E429" s="1"/>
      <c r="F429" s="1"/>
      <c r="G429" s="1"/>
    </row>
    <row r="430" spans="2:7">
      <c r="B430" s="41"/>
      <c r="C430" s="1"/>
      <c r="D430" s="1"/>
      <c r="E430" s="1"/>
      <c r="F430" s="1"/>
      <c r="G430" s="1"/>
    </row>
    <row r="431" spans="2:7">
      <c r="B431" s="41"/>
      <c r="C431" s="1"/>
      <c r="D431" s="1"/>
      <c r="E431" s="1"/>
      <c r="F431" s="1"/>
      <c r="G431" s="1"/>
    </row>
    <row r="432" spans="2:7">
      <c r="B432" s="41"/>
      <c r="C432" s="1"/>
      <c r="D432" s="1"/>
      <c r="E432" s="1"/>
      <c r="F432" s="1"/>
      <c r="G432" s="1"/>
    </row>
    <row r="433" spans="2:7">
      <c r="B433" s="41"/>
      <c r="C433" s="1"/>
      <c r="D433" s="1"/>
      <c r="E433" s="1"/>
      <c r="F433" s="1"/>
      <c r="G433" s="1"/>
    </row>
    <row r="434" spans="2:7">
      <c r="B434" s="41"/>
      <c r="C434" s="1"/>
      <c r="D434" s="1"/>
      <c r="E434" s="1"/>
      <c r="F434" s="1"/>
      <c r="G434" s="1"/>
    </row>
    <row r="435" spans="2:7">
      <c r="B435" s="41"/>
      <c r="C435" s="1"/>
      <c r="D435" s="1"/>
      <c r="E435" s="1"/>
      <c r="F435" s="1"/>
      <c r="G435" s="1"/>
    </row>
    <row r="436" spans="2:7">
      <c r="B436" s="41"/>
      <c r="C436" s="1"/>
      <c r="D436" s="1"/>
      <c r="E436" s="1"/>
      <c r="F436" s="1"/>
      <c r="G436" s="1"/>
    </row>
    <row r="437" spans="2:7">
      <c r="B437" s="41"/>
      <c r="C437" s="1"/>
      <c r="D437" s="1"/>
      <c r="E437" s="1"/>
      <c r="F437" s="1"/>
      <c r="G437" s="1"/>
    </row>
    <row r="438" spans="2:7">
      <c r="B438" s="41"/>
      <c r="C438" s="1"/>
      <c r="D438" s="1"/>
      <c r="E438" s="1"/>
      <c r="F438" s="1"/>
      <c r="G438" s="1"/>
    </row>
    <row r="439" spans="2:7">
      <c r="B439" s="41"/>
      <c r="C439" s="1"/>
      <c r="D439" s="1"/>
      <c r="E439" s="1"/>
      <c r="F439" s="1"/>
      <c r="G439" s="1"/>
    </row>
    <row r="440" spans="2:7">
      <c r="B440" s="41"/>
      <c r="C440" s="1"/>
      <c r="D440" s="1"/>
      <c r="E440" s="1"/>
      <c r="F440" s="1"/>
      <c r="G440" s="1"/>
    </row>
    <row r="441" spans="2:7">
      <c r="B441" s="41"/>
      <c r="C441" s="1"/>
      <c r="D441" s="1"/>
      <c r="E441" s="1"/>
      <c r="F441" s="1"/>
      <c r="G441" s="1"/>
    </row>
    <row r="442" spans="2:7">
      <c r="B442" s="41"/>
      <c r="C442" s="1"/>
      <c r="D442" s="1"/>
      <c r="E442" s="1"/>
      <c r="F442" s="1"/>
      <c r="G442" s="1"/>
    </row>
    <row r="443" spans="2:7">
      <c r="B443" s="41"/>
      <c r="C443" s="1"/>
      <c r="D443" s="1"/>
      <c r="E443" s="1"/>
      <c r="F443" s="1"/>
      <c r="G443" s="1"/>
    </row>
    <row r="444" spans="2:7">
      <c r="B444" s="41"/>
      <c r="C444" s="1"/>
      <c r="D444" s="1"/>
      <c r="E444" s="1"/>
      <c r="F444" s="1"/>
      <c r="G444" s="1"/>
    </row>
    <row r="445" spans="2:7">
      <c r="B445" s="41"/>
      <c r="C445" s="1"/>
      <c r="D445" s="1"/>
      <c r="E445" s="1"/>
      <c r="F445" s="1"/>
      <c r="G445" s="1"/>
    </row>
    <row r="446" spans="2:7">
      <c r="B446" s="41"/>
      <c r="C446" s="1"/>
      <c r="D446" s="1"/>
      <c r="E446" s="1"/>
      <c r="F446" s="1"/>
      <c r="G446" s="1"/>
    </row>
    <row r="447" spans="2:7">
      <c r="B447" s="41"/>
      <c r="C447" s="1"/>
      <c r="D447" s="1"/>
      <c r="E447" s="1"/>
      <c r="F447" s="1"/>
      <c r="G447" s="1"/>
    </row>
  </sheetData>
  <mergeCells count="15">
    <mergeCell ref="L41:M41"/>
    <mergeCell ref="D221:E221"/>
    <mergeCell ref="H221:J221"/>
    <mergeCell ref="D222:E222"/>
    <mergeCell ref="H222:J222"/>
    <mergeCell ref="B2:K2"/>
    <mergeCell ref="A7:B7"/>
    <mergeCell ref="A4:A5"/>
    <mergeCell ref="B4:B5"/>
    <mergeCell ref="C4:C5"/>
    <mergeCell ref="D4:D5"/>
    <mergeCell ref="H4:K4"/>
    <mergeCell ref="E4:E5"/>
    <mergeCell ref="F4:F5"/>
    <mergeCell ref="G4:G5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51" fitToHeight="7" orientation="landscape" r:id="rId1"/>
  <rowBreaks count="2" manualBreakCount="2">
    <brk id="65" max="10" man="1"/>
    <brk id="21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N299"/>
  <sheetViews>
    <sheetView view="pageBreakPreview" zoomScale="60" zoomScaleNormal="100" workbookViewId="0">
      <selection activeCell="E15" sqref="E15"/>
    </sheetView>
  </sheetViews>
  <sheetFormatPr defaultRowHeight="18.75"/>
  <cols>
    <col min="1" max="1" width="71.28515625" style="1" customWidth="1"/>
    <col min="2" max="2" width="12" style="38" customWidth="1"/>
    <col min="3" max="3" width="16.140625" style="38" customWidth="1"/>
    <col min="4" max="4" width="16.7109375" style="38" customWidth="1"/>
    <col min="5" max="5" width="16.140625" style="38" customWidth="1"/>
    <col min="6" max="6" width="16" style="38" customWidth="1"/>
    <col min="7" max="7" width="16.28515625" style="1" customWidth="1"/>
    <col min="8" max="8" width="16.85546875" style="1" customWidth="1"/>
    <col min="9" max="9" width="16.140625" style="1" customWidth="1"/>
    <col min="10" max="10" width="16.42578125" style="1" customWidth="1"/>
    <col min="11" max="11" width="16.5703125" style="1" customWidth="1"/>
    <col min="12" max="12" width="13.42578125" style="1" bestFit="1" customWidth="1"/>
    <col min="13" max="13" width="9.140625" style="1"/>
    <col min="14" max="14" width="14.85546875" style="1" bestFit="1" customWidth="1"/>
    <col min="15" max="16384" width="9.140625" style="1"/>
  </cols>
  <sheetData>
    <row r="2" spans="1:14" ht="22.5">
      <c r="A2" s="263" t="s">
        <v>197</v>
      </c>
      <c r="B2" s="263"/>
      <c r="C2" s="263"/>
      <c r="D2" s="263"/>
      <c r="E2" s="263"/>
      <c r="F2" s="263"/>
      <c r="G2" s="263"/>
      <c r="H2" s="263"/>
    </row>
    <row r="3" spans="1:14">
      <c r="A3" s="2"/>
      <c r="B3" s="3"/>
      <c r="C3" s="2"/>
      <c r="D3" s="2"/>
      <c r="E3" s="2"/>
      <c r="F3" s="3"/>
      <c r="G3" s="2"/>
      <c r="H3" s="2"/>
      <c r="J3" s="1" t="s">
        <v>148</v>
      </c>
    </row>
    <row r="4" spans="1:14" ht="41.25" customHeight="1">
      <c r="A4" s="294" t="s">
        <v>64</v>
      </c>
      <c r="B4" s="287" t="s">
        <v>13</v>
      </c>
      <c r="C4" s="287" t="s">
        <v>381</v>
      </c>
      <c r="D4" s="287" t="s">
        <v>382</v>
      </c>
      <c r="E4" s="287" t="s">
        <v>379</v>
      </c>
      <c r="F4" s="289" t="s">
        <v>389</v>
      </c>
      <c r="G4" s="291" t="s">
        <v>123</v>
      </c>
      <c r="H4" s="292"/>
      <c r="I4" s="292"/>
      <c r="J4" s="293"/>
    </row>
    <row r="5" spans="1:14" ht="54" customHeight="1">
      <c r="A5" s="295"/>
      <c r="B5" s="288"/>
      <c r="C5" s="288"/>
      <c r="D5" s="288"/>
      <c r="E5" s="288"/>
      <c r="F5" s="290"/>
      <c r="G5" s="4" t="s">
        <v>50</v>
      </c>
      <c r="H5" s="4" t="s">
        <v>51</v>
      </c>
      <c r="I5" s="4" t="s">
        <v>52</v>
      </c>
      <c r="J5" s="4" t="s">
        <v>23</v>
      </c>
    </row>
    <row r="6" spans="1:14" ht="23.25" customHeight="1">
      <c r="A6" s="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6">
        <v>9</v>
      </c>
      <c r="J6" s="6">
        <v>10</v>
      </c>
    </row>
    <row r="7" spans="1:14" ht="34.5" customHeight="1">
      <c r="A7" s="95" t="s">
        <v>45</v>
      </c>
      <c r="B7" s="7"/>
      <c r="C7" s="23"/>
      <c r="D7" s="23"/>
      <c r="E7" s="23"/>
      <c r="F7" s="23"/>
      <c r="G7" s="23"/>
      <c r="H7" s="23"/>
      <c r="I7" s="23"/>
      <c r="J7" s="23"/>
      <c r="K7" s="146"/>
    </row>
    <row r="8" spans="1:14" ht="42" customHeight="1">
      <c r="A8" s="81" t="s">
        <v>150</v>
      </c>
      <c r="B8" s="82"/>
      <c r="C8" s="24"/>
      <c r="D8" s="24"/>
      <c r="E8" s="24"/>
      <c r="F8" s="24"/>
      <c r="G8" s="24"/>
      <c r="H8" s="24"/>
      <c r="I8" s="96"/>
      <c r="J8" s="96"/>
      <c r="K8" s="146"/>
      <c r="L8" s="150"/>
    </row>
    <row r="9" spans="1:14" ht="29.25" customHeight="1">
      <c r="A9" s="81" t="s">
        <v>115</v>
      </c>
      <c r="B9" s="82">
        <v>3010</v>
      </c>
      <c r="C9" s="54">
        <f t="shared" ref="C9:D9" si="0">SUM(C10:C11)</f>
        <v>27137.1</v>
      </c>
      <c r="D9" s="54">
        <f t="shared" si="0"/>
        <v>62038.9</v>
      </c>
      <c r="E9" s="54">
        <f>SUM(E10:E11)</f>
        <v>57463.5</v>
      </c>
      <c r="F9" s="54">
        <f t="shared" ref="F9:F16" si="1">G9+H9+I9+J9</f>
        <v>86127</v>
      </c>
      <c r="G9" s="54">
        <f>G10+G11</f>
        <v>22123.1</v>
      </c>
      <c r="H9" s="54">
        <f>H10+H11</f>
        <v>22041.899999999998</v>
      </c>
      <c r="I9" s="54">
        <f>I10+I11</f>
        <v>19949.600000000002</v>
      </c>
      <c r="J9" s="54">
        <f>J10+J11</f>
        <v>22012.399999999998</v>
      </c>
      <c r="K9" s="146"/>
      <c r="M9" s="146"/>
      <c r="N9" s="150"/>
    </row>
    <row r="10" spans="1:14" ht="43.5" customHeight="1">
      <c r="A10" s="42" t="s">
        <v>490</v>
      </c>
      <c r="B10" s="7"/>
      <c r="C10" s="23">
        <v>26659.8</v>
      </c>
      <c r="D10" s="23">
        <f>'Розшифровка 1 до Формування'!E9</f>
        <v>61763.8</v>
      </c>
      <c r="E10" s="23">
        <f>'Розшифровка 1 до Формування'!F9</f>
        <v>57434.6</v>
      </c>
      <c r="F10" s="23">
        <f t="shared" si="1"/>
        <v>86051.1</v>
      </c>
      <c r="G10" s="23">
        <f>'Розшифровка 1 до Формування'!H9</f>
        <v>22093.5</v>
      </c>
      <c r="H10" s="23">
        <f>'Розшифровка 1 до Формування'!I9</f>
        <v>22023.1</v>
      </c>
      <c r="I10" s="23">
        <f>'Розшифровка 1 до Формування'!J9</f>
        <v>19928.2</v>
      </c>
      <c r="J10" s="23">
        <f>'Розшифровка 1 до Формування'!K9</f>
        <v>22006.3</v>
      </c>
      <c r="K10" s="146"/>
    </row>
    <row r="11" spans="1:14" ht="28.5" customHeight="1">
      <c r="A11" s="43" t="s">
        <v>516</v>
      </c>
      <c r="B11" s="108"/>
      <c r="C11" s="23">
        <v>477.3</v>
      </c>
      <c r="D11" s="23">
        <f>'Розшифровка 1 до Формування'!E10</f>
        <v>275.10000000000002</v>
      </c>
      <c r="E11" s="23">
        <f>'Розшифровка 1 до Формування'!F10</f>
        <v>28.9</v>
      </c>
      <c r="F11" s="23">
        <f t="shared" si="1"/>
        <v>75.900000000000006</v>
      </c>
      <c r="G11" s="23">
        <f>'Розшифровка 1 до Формування'!H10</f>
        <v>29.6</v>
      </c>
      <c r="H11" s="23">
        <f>'Розшифровка 1 до Формування'!I10</f>
        <v>18.8</v>
      </c>
      <c r="I11" s="23">
        <f>'Розшифровка 1 до Формування'!J10</f>
        <v>21.4</v>
      </c>
      <c r="J11" s="23">
        <f>'Розшифровка 1 до Формування'!K10</f>
        <v>6.1</v>
      </c>
      <c r="K11" s="146"/>
      <c r="L11" s="151"/>
    </row>
    <row r="12" spans="1:14" ht="27.75" customHeight="1">
      <c r="A12" s="109" t="s">
        <v>501</v>
      </c>
      <c r="B12" s="82">
        <v>3020</v>
      </c>
      <c r="C12" s="54">
        <f>C13+C15</f>
        <v>26385.1</v>
      </c>
      <c r="D12" s="54">
        <f>D13+D15</f>
        <v>15818.5</v>
      </c>
      <c r="E12" s="54">
        <f>E13+E15+E14</f>
        <v>22318.2</v>
      </c>
      <c r="F12" s="54">
        <f t="shared" si="1"/>
        <v>12526.1</v>
      </c>
      <c r="G12" s="54">
        <f>G13+G15</f>
        <v>5001.5</v>
      </c>
      <c r="H12" s="54">
        <f>H13+H15</f>
        <v>3118.4</v>
      </c>
      <c r="I12" s="54">
        <f>I13+I15</f>
        <v>1759.2</v>
      </c>
      <c r="J12" s="54">
        <f>J13+J15</f>
        <v>2647</v>
      </c>
      <c r="K12" s="146"/>
    </row>
    <row r="13" spans="1:14" ht="27.75" customHeight="1">
      <c r="A13" s="34" t="s">
        <v>492</v>
      </c>
      <c r="B13" s="7"/>
      <c r="C13" s="23">
        <v>6001</v>
      </c>
      <c r="D13" s="23"/>
      <c r="E13" s="23"/>
      <c r="F13" s="23">
        <f t="shared" si="1"/>
        <v>0</v>
      </c>
      <c r="G13" s="23"/>
      <c r="H13" s="23"/>
      <c r="I13" s="30"/>
      <c r="J13" s="30"/>
      <c r="K13" s="146"/>
    </row>
    <row r="14" spans="1:14" ht="27.75" customHeight="1">
      <c r="A14" s="34" t="s">
        <v>530</v>
      </c>
      <c r="B14" s="7"/>
      <c r="C14" s="23"/>
      <c r="D14" s="23"/>
      <c r="E14" s="23">
        <v>108.5</v>
      </c>
      <c r="F14" s="23"/>
      <c r="G14" s="23"/>
      <c r="H14" s="23"/>
      <c r="I14" s="30"/>
      <c r="J14" s="30"/>
      <c r="K14" s="146"/>
    </row>
    <row r="15" spans="1:14" ht="24.75" customHeight="1">
      <c r="A15" s="44" t="s">
        <v>491</v>
      </c>
      <c r="B15" s="7"/>
      <c r="C15" s="23">
        <v>20384.099999999999</v>
      </c>
      <c r="D15" s="23">
        <f>'Розшифровка 1 до Формування'!E12</f>
        <v>15818.5</v>
      </c>
      <c r="E15" s="23">
        <f>'Розшифровка 1 до Формування'!F12</f>
        <v>22209.7</v>
      </c>
      <c r="F15" s="23">
        <f t="shared" si="1"/>
        <v>12526.1</v>
      </c>
      <c r="G15" s="23">
        <f>'Розшифровка 1 до Формування'!H12</f>
        <v>5001.5</v>
      </c>
      <c r="H15" s="23">
        <f>'Розшифровка 1 до Формування'!I12</f>
        <v>3118.4</v>
      </c>
      <c r="I15" s="23">
        <f>'Розшифровка 1 до Формування'!J12</f>
        <v>1759.2</v>
      </c>
      <c r="J15" s="23">
        <f>'Розшифровка 1 до Формування'!K12</f>
        <v>2647</v>
      </c>
      <c r="K15" s="146"/>
    </row>
    <row r="16" spans="1:14" ht="36" hidden="1" customHeight="1">
      <c r="A16" s="110" t="s">
        <v>137</v>
      </c>
      <c r="B16" s="7">
        <v>3030</v>
      </c>
      <c r="C16" s="23"/>
      <c r="D16" s="23"/>
      <c r="E16" s="23"/>
      <c r="F16" s="23">
        <f t="shared" si="1"/>
        <v>0</v>
      </c>
      <c r="G16" s="23"/>
      <c r="H16" s="23"/>
      <c r="I16" s="30"/>
      <c r="J16" s="30"/>
      <c r="K16" s="146"/>
    </row>
    <row r="17" spans="1:14" ht="27.75" customHeight="1">
      <c r="A17" s="109" t="s">
        <v>151</v>
      </c>
      <c r="B17" s="82">
        <v>3040</v>
      </c>
      <c r="C17" s="54">
        <f>SUM(C18:C21)</f>
        <v>1656.6999999999998</v>
      </c>
      <c r="D17" s="54">
        <f t="shared" ref="D17:J17" si="2">SUM(D18:D21)</f>
        <v>1393</v>
      </c>
      <c r="E17" s="54">
        <f t="shared" si="2"/>
        <v>2194.6999999999998</v>
      </c>
      <c r="F17" s="54">
        <f t="shared" si="2"/>
        <v>1792.8</v>
      </c>
      <c r="G17" s="54">
        <f t="shared" si="2"/>
        <v>557.20000000000005</v>
      </c>
      <c r="H17" s="54">
        <f t="shared" si="2"/>
        <v>412.1</v>
      </c>
      <c r="I17" s="54">
        <f t="shared" si="2"/>
        <v>328</v>
      </c>
      <c r="J17" s="54">
        <f t="shared" si="2"/>
        <v>495.5</v>
      </c>
      <c r="K17" s="146"/>
    </row>
    <row r="18" spans="1:14" ht="27.75" customHeight="1">
      <c r="A18" s="34" t="s">
        <v>367</v>
      </c>
      <c r="B18" s="7"/>
      <c r="C18" s="23"/>
      <c r="D18" s="23"/>
      <c r="E18" s="23">
        <v>5.6</v>
      </c>
      <c r="F18" s="23">
        <f t="shared" ref="F18:F21" si="3">G18+H18+I18+J18</f>
        <v>34</v>
      </c>
      <c r="G18" s="23">
        <v>15</v>
      </c>
      <c r="H18" s="23">
        <v>4</v>
      </c>
      <c r="I18" s="30"/>
      <c r="J18" s="30">
        <v>15</v>
      </c>
      <c r="K18" s="146"/>
    </row>
    <row r="19" spans="1:14" ht="24.75" customHeight="1">
      <c r="A19" s="16" t="s">
        <v>517</v>
      </c>
      <c r="B19" s="7"/>
      <c r="C19" s="23">
        <v>479.4</v>
      </c>
      <c r="D19" s="23">
        <f>'Розшифровка 1 до Формування'!E16</f>
        <v>610.79999999999995</v>
      </c>
      <c r="E19" s="23">
        <f>'Розшифровка 1 до Формування'!F16</f>
        <v>754.8</v>
      </c>
      <c r="F19" s="23">
        <f t="shared" si="3"/>
        <v>876</v>
      </c>
      <c r="G19" s="23">
        <f>'Розшифровка 1 до Формування'!H16</f>
        <v>337.6</v>
      </c>
      <c r="H19" s="23">
        <f>'Розшифровка 1 до Формування'!I16</f>
        <v>190</v>
      </c>
      <c r="I19" s="23">
        <f>'Розшифровка 1 до Формування'!J16</f>
        <v>82.6</v>
      </c>
      <c r="J19" s="23">
        <f>'Розшифровка 1 до Формування'!K16</f>
        <v>265.8</v>
      </c>
      <c r="K19" s="146"/>
    </row>
    <row r="20" spans="1:14" ht="38.25" customHeight="1">
      <c r="A20" s="34" t="s">
        <v>243</v>
      </c>
      <c r="B20" s="7"/>
      <c r="C20" s="23"/>
      <c r="D20" s="23">
        <v>88</v>
      </c>
      <c r="E20" s="23"/>
      <c r="F20" s="23">
        <f t="shared" si="3"/>
        <v>0</v>
      </c>
      <c r="G20" s="23"/>
      <c r="H20" s="23"/>
      <c r="I20" s="23"/>
      <c r="J20" s="23"/>
      <c r="K20" s="146"/>
    </row>
    <row r="21" spans="1:14" ht="60.75" customHeight="1">
      <c r="A21" s="42" t="s">
        <v>502</v>
      </c>
      <c r="B21" s="7"/>
      <c r="C21" s="23">
        <v>1177.3</v>
      </c>
      <c r="D21" s="23">
        <f>'Розшифровка 1 до Формування'!E17</f>
        <v>694.2</v>
      </c>
      <c r="E21" s="23">
        <f>'Розшифровка 1 до Формування'!F17</f>
        <v>1434.3</v>
      </c>
      <c r="F21" s="23">
        <f t="shared" si="3"/>
        <v>882.8</v>
      </c>
      <c r="G21" s="23">
        <f>'Розшифровка 1 до Формування'!H17</f>
        <v>204.6</v>
      </c>
      <c r="H21" s="23">
        <f>'Розшифровка 1 до Формування'!I17</f>
        <v>218.1</v>
      </c>
      <c r="I21" s="23">
        <f>'Розшифровка 1 до Формування'!J17</f>
        <v>245.4</v>
      </c>
      <c r="J21" s="23">
        <f>'Розшифровка 1 до Формування'!K17</f>
        <v>214.7</v>
      </c>
      <c r="K21" s="146"/>
      <c r="L21" s="150"/>
      <c r="M21" s="151"/>
      <c r="N21" s="150"/>
    </row>
    <row r="22" spans="1:14" s="147" customFormat="1" ht="28.5" customHeight="1">
      <c r="A22" s="95" t="s">
        <v>46</v>
      </c>
      <c r="B22" s="100"/>
      <c r="C22" s="22"/>
      <c r="D22" s="22"/>
      <c r="E22" s="22"/>
      <c r="F22" s="23"/>
      <c r="G22" s="22"/>
      <c r="H22" s="22"/>
      <c r="I22" s="22"/>
      <c r="J22" s="22"/>
      <c r="K22" s="146"/>
    </row>
    <row r="23" spans="1:14" s="147" customFormat="1" ht="30" customHeight="1">
      <c r="A23" s="81" t="s">
        <v>97</v>
      </c>
      <c r="B23" s="97">
        <v>3255</v>
      </c>
      <c r="C23" s="54">
        <f>C24</f>
        <v>12708.400000000001</v>
      </c>
      <c r="D23" s="54">
        <f t="shared" ref="D23:E23" si="4">D24</f>
        <v>5258.2</v>
      </c>
      <c r="E23" s="54">
        <f t="shared" si="4"/>
        <v>9050.7999999999993</v>
      </c>
      <c r="F23" s="54">
        <f t="shared" ref="F23:F24" si="5">G23+H23+I23+J23</f>
        <v>1750</v>
      </c>
      <c r="G23" s="54">
        <f t="shared" ref="G23:J23" si="6">G24</f>
        <v>0</v>
      </c>
      <c r="H23" s="54">
        <f t="shared" si="6"/>
        <v>0</v>
      </c>
      <c r="I23" s="98">
        <f t="shared" si="6"/>
        <v>0</v>
      </c>
      <c r="J23" s="98">
        <f t="shared" si="6"/>
        <v>1750</v>
      </c>
      <c r="K23" s="146"/>
    </row>
    <row r="24" spans="1:14" s="147" customFormat="1" ht="37.5" customHeight="1">
      <c r="A24" s="42" t="s">
        <v>138</v>
      </c>
      <c r="B24" s="99">
        <v>3260</v>
      </c>
      <c r="C24" s="23">
        <f>C25+C72</f>
        <v>12708.400000000001</v>
      </c>
      <c r="D24" s="23">
        <f>D25+D72</f>
        <v>5258.2</v>
      </c>
      <c r="E24" s="23">
        <f>E25+E72</f>
        <v>9050.7999999999993</v>
      </c>
      <c r="F24" s="23">
        <f t="shared" si="5"/>
        <v>1750</v>
      </c>
      <c r="G24" s="23">
        <f>G25+G72</f>
        <v>0</v>
      </c>
      <c r="H24" s="23">
        <f>H25+H72</f>
        <v>0</v>
      </c>
      <c r="I24" s="30">
        <f>I25+I72</f>
        <v>0</v>
      </c>
      <c r="J24" s="30">
        <f>J25+J72</f>
        <v>1750</v>
      </c>
      <c r="K24" s="146"/>
    </row>
    <row r="25" spans="1:14" s="147" customFormat="1" ht="44.25" customHeight="1">
      <c r="A25" s="95" t="s">
        <v>212</v>
      </c>
      <c r="B25" s="100">
        <v>3266</v>
      </c>
      <c r="C25" s="22">
        <f>SUM(C48:C70)</f>
        <v>8936.9000000000015</v>
      </c>
      <c r="D25" s="22">
        <f t="shared" ref="D25:I25" si="7">SUM(D48:D70)</f>
        <v>3000</v>
      </c>
      <c r="E25" s="22">
        <f>SUM(E48:E71)</f>
        <v>6848</v>
      </c>
      <c r="F25" s="22">
        <f>G25+H25+I25+J25</f>
        <v>1750</v>
      </c>
      <c r="G25" s="22">
        <f t="shared" si="7"/>
        <v>0</v>
      </c>
      <c r="H25" s="22">
        <f t="shared" si="7"/>
        <v>0</v>
      </c>
      <c r="I25" s="104">
        <f t="shared" si="7"/>
        <v>0</v>
      </c>
      <c r="J25" s="104">
        <f>SUM(J48:J71)</f>
        <v>1750</v>
      </c>
      <c r="K25" s="146"/>
    </row>
    <row r="26" spans="1:14" s="147" customFormat="1" ht="27" hidden="1" customHeight="1">
      <c r="A26" s="101" t="s">
        <v>295</v>
      </c>
      <c r="B26" s="101"/>
      <c r="C26" s="101"/>
      <c r="D26" s="102"/>
      <c r="E26" s="102"/>
      <c r="F26" s="24">
        <f t="shared" ref="F26:F71" si="8">G26+H26+I26+J26</f>
        <v>0</v>
      </c>
      <c r="G26" s="103"/>
      <c r="H26" s="54"/>
      <c r="I26" s="98"/>
      <c r="J26" s="98"/>
      <c r="K26" s="146">
        <f t="shared" ref="K26:K47" si="9">G26+H26</f>
        <v>0</v>
      </c>
    </row>
    <row r="27" spans="1:14" s="147" customFormat="1" ht="27.75" hidden="1" customHeight="1">
      <c r="A27" s="101" t="s">
        <v>296</v>
      </c>
      <c r="B27" s="101"/>
      <c r="C27" s="101"/>
      <c r="D27" s="102"/>
      <c r="E27" s="102"/>
      <c r="F27" s="24">
        <f t="shared" si="8"/>
        <v>0</v>
      </c>
      <c r="G27" s="103"/>
      <c r="H27" s="54"/>
      <c r="I27" s="98"/>
      <c r="J27" s="98"/>
      <c r="K27" s="146">
        <f t="shared" si="9"/>
        <v>0</v>
      </c>
    </row>
    <row r="28" spans="1:14" s="147" customFormat="1" ht="27.75" hidden="1" customHeight="1">
      <c r="A28" s="101" t="s">
        <v>297</v>
      </c>
      <c r="B28" s="101"/>
      <c r="C28" s="101"/>
      <c r="D28" s="102"/>
      <c r="E28" s="102"/>
      <c r="F28" s="24">
        <f t="shared" si="8"/>
        <v>0</v>
      </c>
      <c r="G28" s="103"/>
      <c r="H28" s="54"/>
      <c r="I28" s="98"/>
      <c r="J28" s="98"/>
      <c r="K28" s="146">
        <f t="shared" si="9"/>
        <v>0</v>
      </c>
    </row>
    <row r="29" spans="1:14" s="147" customFormat="1" ht="27.75" hidden="1" customHeight="1">
      <c r="A29" s="101" t="s">
        <v>298</v>
      </c>
      <c r="B29" s="101"/>
      <c r="C29" s="101"/>
      <c r="D29" s="102"/>
      <c r="E29" s="102"/>
      <c r="F29" s="24">
        <f t="shared" si="8"/>
        <v>0</v>
      </c>
      <c r="G29" s="103"/>
      <c r="H29" s="54"/>
      <c r="I29" s="98"/>
      <c r="J29" s="98"/>
      <c r="K29" s="146">
        <f t="shared" si="9"/>
        <v>0</v>
      </c>
    </row>
    <row r="30" spans="1:14" s="147" customFormat="1" ht="27.75" hidden="1" customHeight="1">
      <c r="A30" s="101" t="s">
        <v>299</v>
      </c>
      <c r="B30" s="101"/>
      <c r="C30" s="101"/>
      <c r="D30" s="102"/>
      <c r="E30" s="102"/>
      <c r="F30" s="24">
        <f t="shared" si="8"/>
        <v>0</v>
      </c>
      <c r="G30" s="103"/>
      <c r="H30" s="54"/>
      <c r="I30" s="98"/>
      <c r="J30" s="98"/>
      <c r="K30" s="146">
        <f t="shared" si="9"/>
        <v>0</v>
      </c>
    </row>
    <row r="31" spans="1:14" s="147" customFormat="1" ht="27.75" hidden="1" customHeight="1">
      <c r="A31" s="101" t="s">
        <v>300</v>
      </c>
      <c r="B31" s="101"/>
      <c r="C31" s="101"/>
      <c r="D31" s="102"/>
      <c r="E31" s="102"/>
      <c r="F31" s="24">
        <f t="shared" si="8"/>
        <v>0</v>
      </c>
      <c r="G31" s="103"/>
      <c r="H31" s="54"/>
      <c r="I31" s="98"/>
      <c r="J31" s="98"/>
      <c r="K31" s="146">
        <f t="shared" si="9"/>
        <v>0</v>
      </c>
    </row>
    <row r="32" spans="1:14" s="147" customFormat="1" ht="27.75" hidden="1" customHeight="1">
      <c r="A32" s="101" t="s">
        <v>301</v>
      </c>
      <c r="B32" s="101"/>
      <c r="C32" s="101"/>
      <c r="D32" s="102"/>
      <c r="E32" s="102"/>
      <c r="F32" s="24">
        <f t="shared" si="8"/>
        <v>0</v>
      </c>
      <c r="G32" s="103"/>
      <c r="H32" s="54"/>
      <c r="I32" s="98"/>
      <c r="J32" s="98"/>
      <c r="K32" s="146">
        <f t="shared" si="9"/>
        <v>0</v>
      </c>
    </row>
    <row r="33" spans="1:11" s="147" customFormat="1" ht="27.75" hidden="1" customHeight="1">
      <c r="A33" s="101" t="s">
        <v>302</v>
      </c>
      <c r="B33" s="101"/>
      <c r="C33" s="101"/>
      <c r="D33" s="102"/>
      <c r="E33" s="102"/>
      <c r="F33" s="24">
        <f t="shared" si="8"/>
        <v>0</v>
      </c>
      <c r="G33" s="103"/>
      <c r="H33" s="54"/>
      <c r="I33" s="98"/>
      <c r="J33" s="98"/>
      <c r="K33" s="146">
        <f t="shared" si="9"/>
        <v>0</v>
      </c>
    </row>
    <row r="34" spans="1:11" s="147" customFormat="1" ht="27.75" hidden="1" customHeight="1">
      <c r="A34" s="101" t="s">
        <v>303</v>
      </c>
      <c r="B34" s="101"/>
      <c r="C34" s="101"/>
      <c r="D34" s="102"/>
      <c r="E34" s="102"/>
      <c r="F34" s="24"/>
      <c r="G34" s="103"/>
      <c r="H34" s="54"/>
      <c r="I34" s="98"/>
      <c r="J34" s="98"/>
      <c r="K34" s="146">
        <f t="shared" si="9"/>
        <v>0</v>
      </c>
    </row>
    <row r="35" spans="1:11" s="147" customFormat="1" ht="27.75" hidden="1" customHeight="1">
      <c r="A35" s="101" t="s">
        <v>304</v>
      </c>
      <c r="B35" s="101"/>
      <c r="C35" s="101"/>
      <c r="D35" s="102"/>
      <c r="E35" s="102"/>
      <c r="F35" s="24"/>
      <c r="G35" s="103"/>
      <c r="H35" s="54"/>
      <c r="I35" s="98"/>
      <c r="J35" s="98"/>
      <c r="K35" s="146">
        <f t="shared" si="9"/>
        <v>0</v>
      </c>
    </row>
    <row r="36" spans="1:11" s="147" customFormat="1" ht="27.75" hidden="1" customHeight="1">
      <c r="A36" s="101" t="s">
        <v>305</v>
      </c>
      <c r="B36" s="101"/>
      <c r="C36" s="101"/>
      <c r="D36" s="102"/>
      <c r="E36" s="102"/>
      <c r="F36" s="24"/>
      <c r="G36" s="103"/>
      <c r="H36" s="54"/>
      <c r="I36" s="98"/>
      <c r="J36" s="98"/>
      <c r="K36" s="146">
        <f t="shared" si="9"/>
        <v>0</v>
      </c>
    </row>
    <row r="37" spans="1:11" s="147" customFormat="1" ht="27.75" hidden="1" customHeight="1">
      <c r="A37" s="101" t="s">
        <v>306</v>
      </c>
      <c r="B37" s="101"/>
      <c r="C37" s="101"/>
      <c r="D37" s="102"/>
      <c r="E37" s="102"/>
      <c r="F37" s="24"/>
      <c r="G37" s="103"/>
      <c r="H37" s="54"/>
      <c r="I37" s="98"/>
      <c r="J37" s="98"/>
      <c r="K37" s="146">
        <f t="shared" si="9"/>
        <v>0</v>
      </c>
    </row>
    <row r="38" spans="1:11" s="147" customFormat="1" ht="27.75" hidden="1" customHeight="1">
      <c r="A38" s="101" t="s">
        <v>307</v>
      </c>
      <c r="B38" s="101"/>
      <c r="C38" s="101"/>
      <c r="D38" s="102"/>
      <c r="E38" s="102"/>
      <c r="F38" s="24"/>
      <c r="G38" s="103"/>
      <c r="H38" s="54"/>
      <c r="I38" s="98"/>
      <c r="J38" s="98"/>
      <c r="K38" s="146">
        <f t="shared" si="9"/>
        <v>0</v>
      </c>
    </row>
    <row r="39" spans="1:11" s="147" customFormat="1" ht="27.75" hidden="1" customHeight="1">
      <c r="A39" s="101" t="s">
        <v>308</v>
      </c>
      <c r="B39" s="101"/>
      <c r="C39" s="101"/>
      <c r="D39" s="102"/>
      <c r="E39" s="102"/>
      <c r="F39" s="24"/>
      <c r="G39" s="103"/>
      <c r="H39" s="54"/>
      <c r="I39" s="98"/>
      <c r="J39" s="98"/>
      <c r="K39" s="146">
        <f t="shared" si="9"/>
        <v>0</v>
      </c>
    </row>
    <row r="40" spans="1:11" s="147" customFormat="1" ht="27.75" hidden="1" customHeight="1">
      <c r="A40" s="101" t="s">
        <v>309</v>
      </c>
      <c r="B40" s="101"/>
      <c r="C40" s="101"/>
      <c r="D40" s="102"/>
      <c r="E40" s="102"/>
      <c r="F40" s="24"/>
      <c r="G40" s="103"/>
      <c r="H40" s="54"/>
      <c r="I40" s="98"/>
      <c r="J40" s="98"/>
      <c r="K40" s="146">
        <f t="shared" si="9"/>
        <v>0</v>
      </c>
    </row>
    <row r="41" spans="1:11" s="147" customFormat="1" ht="27.75" hidden="1" customHeight="1">
      <c r="A41" s="101" t="s">
        <v>310</v>
      </c>
      <c r="B41" s="101"/>
      <c r="C41" s="101"/>
      <c r="D41" s="102"/>
      <c r="E41" s="102"/>
      <c r="F41" s="24">
        <f t="shared" si="8"/>
        <v>0</v>
      </c>
      <c r="G41" s="103"/>
      <c r="H41" s="54"/>
      <c r="I41" s="98"/>
      <c r="J41" s="98"/>
      <c r="K41" s="146">
        <f t="shared" si="9"/>
        <v>0</v>
      </c>
    </row>
    <row r="42" spans="1:11" s="147" customFormat="1" ht="27.75" hidden="1" customHeight="1">
      <c r="A42" s="101" t="s">
        <v>311</v>
      </c>
      <c r="B42" s="101"/>
      <c r="C42" s="101"/>
      <c r="D42" s="102"/>
      <c r="E42" s="102"/>
      <c r="F42" s="24">
        <f t="shared" si="8"/>
        <v>0</v>
      </c>
      <c r="G42" s="103"/>
      <c r="H42" s="54"/>
      <c r="I42" s="98"/>
      <c r="J42" s="98"/>
      <c r="K42" s="146">
        <f t="shared" si="9"/>
        <v>0</v>
      </c>
    </row>
    <row r="43" spans="1:11" s="147" customFormat="1" ht="27.75" hidden="1" customHeight="1">
      <c r="A43" s="101" t="s">
        <v>312</v>
      </c>
      <c r="B43" s="101"/>
      <c r="C43" s="101"/>
      <c r="D43" s="102"/>
      <c r="E43" s="102"/>
      <c r="F43" s="24">
        <f t="shared" si="8"/>
        <v>0</v>
      </c>
      <c r="G43" s="103"/>
      <c r="H43" s="54"/>
      <c r="I43" s="98"/>
      <c r="J43" s="98"/>
      <c r="K43" s="146">
        <f t="shared" si="9"/>
        <v>0</v>
      </c>
    </row>
    <row r="44" spans="1:11" s="147" customFormat="1" ht="27.75" hidden="1" customHeight="1">
      <c r="A44" s="101" t="s">
        <v>313</v>
      </c>
      <c r="B44" s="101"/>
      <c r="C44" s="101"/>
      <c r="D44" s="102"/>
      <c r="E44" s="102"/>
      <c r="F44" s="24">
        <f t="shared" si="8"/>
        <v>0</v>
      </c>
      <c r="G44" s="103"/>
      <c r="H44" s="54"/>
      <c r="I44" s="98"/>
      <c r="J44" s="98"/>
      <c r="K44" s="146">
        <f t="shared" si="9"/>
        <v>0</v>
      </c>
    </row>
    <row r="45" spans="1:11" s="147" customFormat="1" ht="27.75" hidden="1" customHeight="1">
      <c r="A45" s="101" t="s">
        <v>314</v>
      </c>
      <c r="B45" s="101"/>
      <c r="C45" s="101"/>
      <c r="D45" s="102"/>
      <c r="E45" s="102"/>
      <c r="F45" s="24">
        <f t="shared" si="8"/>
        <v>0</v>
      </c>
      <c r="G45" s="103"/>
      <c r="H45" s="54"/>
      <c r="I45" s="98"/>
      <c r="J45" s="98"/>
      <c r="K45" s="146">
        <f t="shared" si="9"/>
        <v>0</v>
      </c>
    </row>
    <row r="46" spans="1:11" s="147" customFormat="1" ht="27.75" hidden="1" customHeight="1">
      <c r="A46" s="101" t="s">
        <v>315</v>
      </c>
      <c r="B46" s="101"/>
      <c r="C46" s="101"/>
      <c r="D46" s="102"/>
      <c r="E46" s="102"/>
      <c r="F46" s="24">
        <f t="shared" si="8"/>
        <v>0</v>
      </c>
      <c r="G46" s="103"/>
      <c r="H46" s="54"/>
      <c r="I46" s="98"/>
      <c r="J46" s="98"/>
      <c r="K46" s="146">
        <f t="shared" si="9"/>
        <v>0</v>
      </c>
    </row>
    <row r="47" spans="1:11" s="147" customFormat="1" ht="27.75" hidden="1" customHeight="1">
      <c r="A47" s="101" t="s">
        <v>316</v>
      </c>
      <c r="B47" s="101"/>
      <c r="C47" s="101"/>
      <c r="D47" s="102"/>
      <c r="E47" s="102"/>
      <c r="F47" s="24">
        <f t="shared" si="8"/>
        <v>0</v>
      </c>
      <c r="G47" s="103"/>
      <c r="H47" s="54"/>
      <c r="I47" s="98"/>
      <c r="J47" s="98"/>
      <c r="K47" s="146">
        <f t="shared" si="9"/>
        <v>0</v>
      </c>
    </row>
    <row r="48" spans="1:11" s="147" customFormat="1" ht="27.75" customHeight="1">
      <c r="A48" s="42" t="s">
        <v>447</v>
      </c>
      <c r="B48" s="101"/>
      <c r="C48" s="23">
        <v>8.3000000000000007</v>
      </c>
      <c r="D48" s="23"/>
      <c r="E48" s="23"/>
      <c r="F48" s="24">
        <f t="shared" si="8"/>
        <v>0</v>
      </c>
      <c r="G48" s="103"/>
      <c r="H48" s="54"/>
      <c r="I48" s="98"/>
      <c r="J48" s="98"/>
      <c r="K48" s="146"/>
    </row>
    <row r="49" spans="1:11" s="147" customFormat="1" ht="27.75" customHeight="1">
      <c r="A49" s="42" t="s">
        <v>448</v>
      </c>
      <c r="B49" s="101"/>
      <c r="C49" s="23">
        <v>64.2</v>
      </c>
      <c r="D49" s="23"/>
      <c r="E49" s="23"/>
      <c r="F49" s="24">
        <f t="shared" si="8"/>
        <v>0</v>
      </c>
      <c r="G49" s="103"/>
      <c r="H49" s="54"/>
      <c r="I49" s="98"/>
      <c r="J49" s="98"/>
      <c r="K49" s="146"/>
    </row>
    <row r="50" spans="1:11" s="147" customFormat="1" ht="27.75" customHeight="1">
      <c r="A50" s="42" t="s">
        <v>449</v>
      </c>
      <c r="B50" s="101"/>
      <c r="C50" s="23">
        <v>26.3</v>
      </c>
      <c r="D50" s="23"/>
      <c r="E50" s="23"/>
      <c r="F50" s="24">
        <f t="shared" si="8"/>
        <v>0</v>
      </c>
      <c r="G50" s="103"/>
      <c r="H50" s="54"/>
      <c r="I50" s="98"/>
      <c r="J50" s="98"/>
      <c r="K50" s="146"/>
    </row>
    <row r="51" spans="1:11" s="147" customFormat="1" ht="27.75" customHeight="1">
      <c r="A51" s="42" t="s">
        <v>450</v>
      </c>
      <c r="B51" s="101"/>
      <c r="C51" s="23">
        <v>18.5</v>
      </c>
      <c r="D51" s="23"/>
      <c r="E51" s="23"/>
      <c r="F51" s="24">
        <f t="shared" si="8"/>
        <v>0</v>
      </c>
      <c r="G51" s="103"/>
      <c r="H51" s="54"/>
      <c r="I51" s="98"/>
      <c r="J51" s="98"/>
      <c r="K51" s="146"/>
    </row>
    <row r="52" spans="1:11" s="147" customFormat="1" ht="27.75" customHeight="1">
      <c r="A52" s="42" t="s">
        <v>451</v>
      </c>
      <c r="B52" s="101"/>
      <c r="C52" s="23">
        <v>22</v>
      </c>
      <c r="D52" s="23"/>
      <c r="E52" s="23"/>
      <c r="F52" s="24">
        <f t="shared" si="8"/>
        <v>0</v>
      </c>
      <c r="G52" s="103"/>
      <c r="H52" s="54"/>
      <c r="I52" s="98"/>
      <c r="J52" s="98"/>
      <c r="K52" s="146"/>
    </row>
    <row r="53" spans="1:11" s="147" customFormat="1" ht="27.75" customHeight="1">
      <c r="A53" s="42" t="s">
        <v>452</v>
      </c>
      <c r="B53" s="101"/>
      <c r="C53" s="23">
        <v>28.8</v>
      </c>
      <c r="D53" s="23"/>
      <c r="E53" s="23"/>
      <c r="F53" s="24">
        <f t="shared" si="8"/>
        <v>0</v>
      </c>
      <c r="G53" s="103"/>
      <c r="H53" s="54"/>
      <c r="I53" s="98"/>
      <c r="J53" s="98"/>
      <c r="K53" s="146"/>
    </row>
    <row r="54" spans="1:11" s="147" customFormat="1" ht="27.75" customHeight="1">
      <c r="A54" s="42" t="s">
        <v>453</v>
      </c>
      <c r="B54" s="101"/>
      <c r="C54" s="23">
        <v>94</v>
      </c>
      <c r="D54" s="23"/>
      <c r="E54" s="23"/>
      <c r="F54" s="24">
        <f t="shared" si="8"/>
        <v>0</v>
      </c>
      <c r="G54" s="103"/>
      <c r="H54" s="54"/>
      <c r="I54" s="98"/>
      <c r="J54" s="98"/>
      <c r="K54" s="146"/>
    </row>
    <row r="55" spans="1:11" s="147" customFormat="1" ht="27.75" customHeight="1">
      <c r="A55" s="42" t="s">
        <v>454</v>
      </c>
      <c r="B55" s="101"/>
      <c r="C55" s="23">
        <v>12.5</v>
      </c>
      <c r="D55" s="23"/>
      <c r="E55" s="23"/>
      <c r="F55" s="24">
        <f t="shared" si="8"/>
        <v>0</v>
      </c>
      <c r="G55" s="103"/>
      <c r="H55" s="54"/>
      <c r="I55" s="98"/>
      <c r="J55" s="98"/>
      <c r="K55" s="146"/>
    </row>
    <row r="56" spans="1:11" s="147" customFormat="1" ht="27.75" customHeight="1">
      <c r="A56" s="42" t="s">
        <v>455</v>
      </c>
      <c r="B56" s="101"/>
      <c r="C56" s="23">
        <v>251.9</v>
      </c>
      <c r="D56" s="23"/>
      <c r="E56" s="23"/>
      <c r="F56" s="24">
        <f t="shared" si="8"/>
        <v>0</v>
      </c>
      <c r="G56" s="103"/>
      <c r="H56" s="54"/>
      <c r="I56" s="98"/>
      <c r="J56" s="98"/>
      <c r="K56" s="146"/>
    </row>
    <row r="57" spans="1:11" s="147" customFormat="1" ht="27.75" customHeight="1">
      <c r="A57" s="42" t="s">
        <v>456</v>
      </c>
      <c r="B57" s="101"/>
      <c r="C57" s="23">
        <v>81</v>
      </c>
      <c r="D57" s="23">
        <v>378</v>
      </c>
      <c r="E57" s="23">
        <v>378</v>
      </c>
      <c r="F57" s="24">
        <f t="shared" si="8"/>
        <v>0</v>
      </c>
      <c r="G57" s="103"/>
      <c r="H57" s="54"/>
      <c r="I57" s="98"/>
      <c r="J57" s="98"/>
      <c r="K57" s="146"/>
    </row>
    <row r="58" spans="1:11" s="147" customFormat="1" ht="27.75" customHeight="1">
      <c r="A58" s="42" t="s">
        <v>457</v>
      </c>
      <c r="B58" s="101"/>
      <c r="C58" s="23">
        <v>180</v>
      </c>
      <c r="D58" s="23"/>
      <c r="E58" s="23"/>
      <c r="F58" s="24">
        <f t="shared" si="8"/>
        <v>0</v>
      </c>
      <c r="G58" s="103"/>
      <c r="H58" s="54"/>
      <c r="I58" s="98"/>
      <c r="J58" s="98"/>
      <c r="K58" s="146"/>
    </row>
    <row r="59" spans="1:11" s="147" customFormat="1" ht="27.75" customHeight="1">
      <c r="A59" s="42" t="s">
        <v>458</v>
      </c>
      <c r="B59" s="101"/>
      <c r="C59" s="23">
        <v>167.4</v>
      </c>
      <c r="D59" s="23"/>
      <c r="E59" s="23"/>
      <c r="F59" s="24">
        <f t="shared" si="8"/>
        <v>0</v>
      </c>
      <c r="G59" s="103"/>
      <c r="H59" s="54"/>
      <c r="I59" s="98"/>
      <c r="J59" s="98"/>
      <c r="K59" s="146"/>
    </row>
    <row r="60" spans="1:11" s="147" customFormat="1" ht="27.75" customHeight="1">
      <c r="A60" s="111" t="s">
        <v>459</v>
      </c>
      <c r="B60" s="101"/>
      <c r="C60" s="23">
        <v>90.9</v>
      </c>
      <c r="D60" s="23"/>
      <c r="E60" s="23"/>
      <c r="F60" s="24">
        <f t="shared" si="8"/>
        <v>0</v>
      </c>
      <c r="G60" s="103"/>
      <c r="H60" s="54"/>
      <c r="I60" s="98"/>
      <c r="J60" s="98"/>
      <c r="K60" s="146"/>
    </row>
    <row r="61" spans="1:11" s="147" customFormat="1" ht="27.75" customHeight="1">
      <c r="A61" s="111" t="s">
        <v>460</v>
      </c>
      <c r="B61" s="101"/>
      <c r="C61" s="23">
        <v>2385</v>
      </c>
      <c r="D61" s="23">
        <v>2385</v>
      </c>
      <c r="E61" s="23">
        <v>5806.3</v>
      </c>
      <c r="F61" s="24">
        <f t="shared" si="8"/>
        <v>0</v>
      </c>
      <c r="G61" s="103"/>
      <c r="H61" s="54"/>
      <c r="I61" s="98"/>
      <c r="J61" s="98"/>
      <c r="K61" s="146"/>
    </row>
    <row r="62" spans="1:11" s="147" customFormat="1" ht="35.25" customHeight="1">
      <c r="A62" s="111" t="s">
        <v>461</v>
      </c>
      <c r="B62" s="101"/>
      <c r="C62" s="23">
        <v>298</v>
      </c>
      <c r="D62" s="23"/>
      <c r="E62" s="23"/>
      <c r="F62" s="24">
        <f t="shared" si="8"/>
        <v>0</v>
      </c>
      <c r="G62" s="103"/>
      <c r="H62" s="54"/>
      <c r="I62" s="98"/>
      <c r="J62" s="98"/>
      <c r="K62" s="146"/>
    </row>
    <row r="63" spans="1:11" s="147" customFormat="1" ht="27.75" customHeight="1">
      <c r="A63" s="111" t="s">
        <v>462</v>
      </c>
      <c r="B63" s="101"/>
      <c r="C63" s="23">
        <v>918.4</v>
      </c>
      <c r="D63" s="23"/>
      <c r="E63" s="23"/>
      <c r="F63" s="24">
        <f t="shared" si="8"/>
        <v>0</v>
      </c>
      <c r="G63" s="103"/>
      <c r="H63" s="54"/>
      <c r="I63" s="98"/>
      <c r="J63" s="98"/>
      <c r="K63" s="146"/>
    </row>
    <row r="64" spans="1:11" s="147" customFormat="1" ht="27.75" customHeight="1">
      <c r="A64" s="111" t="s">
        <v>463</v>
      </c>
      <c r="B64" s="101"/>
      <c r="C64" s="23">
        <v>83.6</v>
      </c>
      <c r="D64" s="23">
        <v>237</v>
      </c>
      <c r="E64" s="23">
        <v>663.7</v>
      </c>
      <c r="F64" s="24">
        <f t="shared" si="8"/>
        <v>0</v>
      </c>
      <c r="G64" s="103"/>
      <c r="H64" s="54"/>
      <c r="I64" s="98"/>
      <c r="J64" s="98"/>
      <c r="K64" s="146"/>
    </row>
    <row r="65" spans="1:11" s="147" customFormat="1" ht="27.75" customHeight="1">
      <c r="A65" s="111" t="s">
        <v>464</v>
      </c>
      <c r="B65" s="101"/>
      <c r="C65" s="23">
        <v>267</v>
      </c>
      <c r="D65" s="23"/>
      <c r="E65" s="23"/>
      <c r="F65" s="24">
        <f t="shared" si="8"/>
        <v>0</v>
      </c>
      <c r="G65" s="103"/>
      <c r="H65" s="54"/>
      <c r="I65" s="98"/>
      <c r="J65" s="98"/>
      <c r="K65" s="146"/>
    </row>
    <row r="66" spans="1:11" s="147" customFormat="1" ht="27.75" customHeight="1">
      <c r="A66" s="111" t="s">
        <v>465</v>
      </c>
      <c r="B66" s="101"/>
      <c r="C66" s="23">
        <v>167.1</v>
      </c>
      <c r="D66" s="23"/>
      <c r="E66" s="23"/>
      <c r="F66" s="24">
        <f t="shared" si="8"/>
        <v>0</v>
      </c>
      <c r="G66" s="103"/>
      <c r="H66" s="54"/>
      <c r="I66" s="98"/>
      <c r="J66" s="98"/>
      <c r="K66" s="146"/>
    </row>
    <row r="67" spans="1:11" s="147" customFormat="1" ht="27.75" customHeight="1">
      <c r="A67" s="111" t="s">
        <v>466</v>
      </c>
      <c r="B67" s="101"/>
      <c r="C67" s="23">
        <v>630</v>
      </c>
      <c r="D67" s="23"/>
      <c r="E67" s="23"/>
      <c r="F67" s="24">
        <f t="shared" si="8"/>
        <v>0</v>
      </c>
      <c r="G67" s="103"/>
      <c r="H67" s="54"/>
      <c r="I67" s="98"/>
      <c r="J67" s="98"/>
      <c r="K67" s="146"/>
    </row>
    <row r="68" spans="1:11" s="147" customFormat="1" ht="27.75" customHeight="1">
      <c r="A68" s="111" t="s">
        <v>467</v>
      </c>
      <c r="B68" s="101"/>
      <c r="C68" s="23">
        <v>197.5</v>
      </c>
      <c r="D68" s="23"/>
      <c r="E68" s="23"/>
      <c r="F68" s="24">
        <f t="shared" si="8"/>
        <v>0</v>
      </c>
      <c r="G68" s="103"/>
      <c r="H68" s="54"/>
      <c r="I68" s="98"/>
      <c r="J68" s="98"/>
      <c r="K68" s="146"/>
    </row>
    <row r="69" spans="1:11" s="147" customFormat="1" ht="27.75" customHeight="1">
      <c r="A69" s="111" t="s">
        <v>468</v>
      </c>
      <c r="B69" s="101"/>
      <c r="C69" s="23">
        <v>94.5</v>
      </c>
      <c r="D69" s="23"/>
      <c r="E69" s="23"/>
      <c r="F69" s="24">
        <f t="shared" si="8"/>
        <v>0</v>
      </c>
      <c r="G69" s="103"/>
      <c r="H69" s="54"/>
      <c r="I69" s="98"/>
      <c r="J69" s="98"/>
      <c r="K69" s="146"/>
    </row>
    <row r="70" spans="1:11" s="147" customFormat="1" ht="27.75" customHeight="1">
      <c r="A70" s="111" t="s">
        <v>469</v>
      </c>
      <c r="B70" s="101"/>
      <c r="C70" s="23">
        <v>2850</v>
      </c>
      <c r="D70" s="23"/>
      <c r="E70" s="23"/>
      <c r="F70" s="24">
        <f t="shared" si="8"/>
        <v>0</v>
      </c>
      <c r="G70" s="103"/>
      <c r="H70" s="54"/>
      <c r="I70" s="98"/>
      <c r="J70" s="98"/>
      <c r="K70" s="146"/>
    </row>
    <row r="71" spans="1:11" s="147" customFormat="1" ht="27.75" customHeight="1">
      <c r="A71" s="111" t="s">
        <v>470</v>
      </c>
      <c r="B71" s="101"/>
      <c r="C71" s="23"/>
      <c r="D71" s="23"/>
      <c r="E71" s="23"/>
      <c r="F71" s="23">
        <f t="shared" si="8"/>
        <v>1750</v>
      </c>
      <c r="G71" s="11"/>
      <c r="H71" s="22"/>
      <c r="I71" s="104"/>
      <c r="J71" s="30">
        <v>1750</v>
      </c>
      <c r="K71" s="146"/>
    </row>
    <row r="72" spans="1:11" s="147" customFormat="1" ht="24.75" customHeight="1">
      <c r="A72" s="95" t="s">
        <v>152</v>
      </c>
      <c r="B72" s="100">
        <v>3270</v>
      </c>
      <c r="C72" s="22">
        <f>SUM(C73:C74)</f>
        <v>3771.5</v>
      </c>
      <c r="D72" s="22">
        <f t="shared" ref="D72:E72" si="10">SUM(D73:D74)</f>
        <v>2258.1999999999998</v>
      </c>
      <c r="E72" s="22">
        <f t="shared" si="10"/>
        <v>2202.8000000000002</v>
      </c>
      <c r="F72" s="54">
        <f>G72+H72+I72+J72</f>
        <v>0</v>
      </c>
      <c r="G72" s="54">
        <f t="shared" ref="G72:J72" si="11">SUM(G73:G74)</f>
        <v>0</v>
      </c>
      <c r="H72" s="54">
        <f t="shared" si="11"/>
        <v>0</v>
      </c>
      <c r="I72" s="98">
        <f t="shared" si="11"/>
        <v>0</v>
      </c>
      <c r="J72" s="98">
        <f t="shared" si="11"/>
        <v>0</v>
      </c>
      <c r="K72" s="146"/>
    </row>
    <row r="73" spans="1:11" s="147" customFormat="1" ht="57.75" customHeight="1">
      <c r="A73" s="42" t="s">
        <v>472</v>
      </c>
      <c r="B73" s="99"/>
      <c r="C73" s="23">
        <v>3771.5</v>
      </c>
      <c r="D73" s="54"/>
      <c r="E73" s="54"/>
      <c r="F73" s="24">
        <f>G73+H73+I73+J73</f>
        <v>0</v>
      </c>
      <c r="G73" s="54"/>
      <c r="H73" s="54"/>
      <c r="I73" s="98"/>
      <c r="J73" s="98"/>
      <c r="K73" s="146"/>
    </row>
    <row r="74" spans="1:11" s="147" customFormat="1" ht="46.5" customHeight="1">
      <c r="A74" s="149" t="s">
        <v>473</v>
      </c>
      <c r="B74" s="99"/>
      <c r="C74" s="23"/>
      <c r="D74" s="23">
        <v>2258.1999999999998</v>
      </c>
      <c r="E74" s="23">
        <v>2202.8000000000002</v>
      </c>
      <c r="F74" s="23">
        <f>G74+H74+I74+J74</f>
        <v>0</v>
      </c>
      <c r="G74" s="23"/>
      <c r="H74" s="23"/>
      <c r="I74" s="30"/>
      <c r="J74" s="30"/>
      <c r="K74" s="146"/>
    </row>
    <row r="75" spans="1:11" s="147" customFormat="1" ht="19.5" customHeight="1">
      <c r="A75" s="125"/>
      <c r="B75" s="105"/>
      <c r="C75" s="106"/>
      <c r="D75" s="106"/>
      <c r="E75" s="106"/>
      <c r="F75" s="106"/>
      <c r="G75" s="106"/>
      <c r="H75" s="106"/>
      <c r="I75" s="106"/>
      <c r="J75" s="107"/>
    </row>
    <row r="76" spans="1:11" ht="26.25" customHeight="1">
      <c r="A76" s="89" t="s">
        <v>433</v>
      </c>
      <c r="B76" s="63"/>
      <c r="C76" s="302"/>
      <c r="D76" s="302"/>
      <c r="E76" s="126"/>
      <c r="F76" s="64"/>
      <c r="G76" s="303" t="s">
        <v>432</v>
      </c>
      <c r="H76" s="304"/>
      <c r="I76" s="304"/>
    </row>
    <row r="77" spans="1:11">
      <c r="A77" s="38" t="s">
        <v>133</v>
      </c>
      <c r="B77" s="1"/>
      <c r="C77" s="305" t="s">
        <v>531</v>
      </c>
      <c r="D77" s="305"/>
      <c r="E77" s="125"/>
      <c r="F77" s="1"/>
      <c r="G77" s="301" t="s">
        <v>35</v>
      </c>
      <c r="H77" s="301"/>
      <c r="I77" s="301"/>
    </row>
    <row r="78" spans="1:11">
      <c r="A78" s="37"/>
      <c r="C78" s="39"/>
      <c r="D78" s="40"/>
      <c r="E78" s="40"/>
      <c r="F78" s="40"/>
      <c r="G78" s="40"/>
      <c r="H78" s="40"/>
    </row>
    <row r="79" spans="1:11">
      <c r="A79" s="37"/>
      <c r="C79" s="39"/>
      <c r="D79" s="40"/>
      <c r="E79" s="40"/>
      <c r="F79" s="40"/>
      <c r="G79" s="40"/>
      <c r="H79" s="40"/>
    </row>
    <row r="80" spans="1:11">
      <c r="A80" s="37"/>
      <c r="C80" s="39"/>
      <c r="D80" s="40"/>
      <c r="E80" s="40"/>
      <c r="F80" s="40"/>
      <c r="G80" s="40"/>
      <c r="H80" s="40"/>
    </row>
    <row r="81" spans="1:8">
      <c r="A81" s="37"/>
      <c r="C81" s="39"/>
      <c r="D81" s="40"/>
      <c r="E81" s="40"/>
      <c r="F81" s="40"/>
      <c r="G81" s="40"/>
      <c r="H81" s="40"/>
    </row>
    <row r="82" spans="1:8">
      <c r="A82" s="37"/>
      <c r="C82" s="39"/>
      <c r="D82" s="40"/>
      <c r="E82" s="40"/>
      <c r="F82" s="40"/>
      <c r="G82" s="40"/>
      <c r="H82" s="40"/>
    </row>
    <row r="83" spans="1:8">
      <c r="A83" s="37"/>
      <c r="C83" s="39"/>
      <c r="D83" s="40"/>
      <c r="E83" s="40"/>
      <c r="F83" s="40"/>
      <c r="G83" s="40"/>
      <c r="H83" s="40"/>
    </row>
    <row r="84" spans="1:8">
      <c r="A84" s="37"/>
      <c r="C84" s="39"/>
      <c r="D84" s="40"/>
      <c r="E84" s="40"/>
      <c r="F84" s="40"/>
      <c r="G84" s="40"/>
      <c r="H84" s="40"/>
    </row>
    <row r="85" spans="1:8">
      <c r="A85" s="37"/>
      <c r="C85" s="39"/>
      <c r="D85" s="40"/>
      <c r="E85" s="40"/>
      <c r="F85" s="40"/>
      <c r="G85" s="40"/>
      <c r="H85" s="40"/>
    </row>
    <row r="86" spans="1:8">
      <c r="A86" s="37"/>
      <c r="C86" s="39"/>
      <c r="D86" s="40"/>
      <c r="E86" s="40"/>
      <c r="F86" s="40"/>
      <c r="G86" s="40"/>
      <c r="H86" s="40"/>
    </row>
    <row r="87" spans="1:8">
      <c r="A87" s="37"/>
      <c r="C87" s="39"/>
      <c r="D87" s="40"/>
      <c r="E87" s="40"/>
      <c r="F87" s="40"/>
      <c r="G87" s="40"/>
      <c r="H87" s="40"/>
    </row>
    <row r="88" spans="1:8">
      <c r="A88" s="37"/>
      <c r="C88" s="39"/>
      <c r="D88" s="40"/>
      <c r="E88" s="40"/>
      <c r="F88" s="40"/>
      <c r="G88" s="40"/>
      <c r="H88" s="40"/>
    </row>
    <row r="89" spans="1:8">
      <c r="A89" s="37"/>
      <c r="C89" s="39"/>
      <c r="D89" s="40"/>
      <c r="E89" s="40"/>
      <c r="F89" s="40"/>
      <c r="G89" s="40"/>
      <c r="H89" s="40"/>
    </row>
    <row r="90" spans="1:8">
      <c r="A90" s="37"/>
      <c r="C90" s="39"/>
      <c r="D90" s="40"/>
      <c r="E90" s="40"/>
      <c r="F90" s="40"/>
      <c r="G90" s="40"/>
      <c r="H90" s="40"/>
    </row>
    <row r="91" spans="1:8">
      <c r="A91" s="37"/>
      <c r="C91" s="39"/>
      <c r="D91" s="40"/>
      <c r="E91" s="40"/>
      <c r="F91" s="40"/>
      <c r="G91" s="40"/>
      <c r="H91" s="40"/>
    </row>
    <row r="92" spans="1:8">
      <c r="A92" s="37"/>
      <c r="C92" s="39"/>
      <c r="D92" s="40"/>
      <c r="E92" s="40"/>
      <c r="F92" s="40"/>
      <c r="G92" s="40"/>
      <c r="H92" s="40"/>
    </row>
    <row r="93" spans="1:8">
      <c r="A93" s="37"/>
      <c r="C93" s="39"/>
      <c r="D93" s="40"/>
      <c r="E93" s="40"/>
      <c r="F93" s="40"/>
      <c r="G93" s="40"/>
      <c r="H93" s="40"/>
    </row>
    <row r="94" spans="1:8">
      <c r="A94" s="37"/>
      <c r="C94" s="39"/>
      <c r="D94" s="40"/>
      <c r="E94" s="40"/>
      <c r="F94" s="40"/>
      <c r="G94" s="40"/>
      <c r="H94" s="40"/>
    </row>
    <row r="95" spans="1:8">
      <c r="A95" s="37"/>
      <c r="C95" s="39"/>
      <c r="D95" s="40"/>
      <c r="E95" s="40"/>
      <c r="F95" s="40"/>
      <c r="G95" s="40"/>
      <c r="H95" s="40"/>
    </row>
    <row r="96" spans="1:8">
      <c r="A96" s="37"/>
      <c r="C96" s="39"/>
      <c r="D96" s="40"/>
      <c r="E96" s="40"/>
      <c r="F96" s="40"/>
      <c r="G96" s="40"/>
      <c r="H96" s="40"/>
    </row>
    <row r="97" spans="1:8">
      <c r="A97" s="37"/>
      <c r="C97" s="39"/>
      <c r="D97" s="40"/>
      <c r="E97" s="40"/>
      <c r="F97" s="40"/>
      <c r="G97" s="40"/>
      <c r="H97" s="40"/>
    </row>
    <row r="98" spans="1:8">
      <c r="A98" s="37"/>
      <c r="C98" s="39"/>
      <c r="D98" s="40"/>
      <c r="E98" s="40"/>
      <c r="F98" s="40"/>
      <c r="G98" s="40"/>
      <c r="H98" s="40"/>
    </row>
    <row r="99" spans="1:8">
      <c r="A99" s="37"/>
      <c r="C99" s="39"/>
      <c r="D99" s="40"/>
      <c r="E99" s="40"/>
      <c r="F99" s="40"/>
      <c r="G99" s="40"/>
      <c r="H99" s="40"/>
    </row>
    <row r="100" spans="1:8">
      <c r="A100" s="37"/>
      <c r="C100" s="39"/>
      <c r="D100" s="40"/>
      <c r="E100" s="40"/>
      <c r="F100" s="40"/>
      <c r="G100" s="40"/>
      <c r="H100" s="40"/>
    </row>
    <row r="101" spans="1:8">
      <c r="A101" s="37"/>
      <c r="C101" s="39"/>
      <c r="D101" s="40"/>
      <c r="E101" s="40"/>
      <c r="F101" s="40"/>
      <c r="G101" s="40"/>
      <c r="H101" s="40"/>
    </row>
    <row r="102" spans="1:8">
      <c r="A102" s="37"/>
      <c r="C102" s="39"/>
      <c r="D102" s="40"/>
      <c r="E102" s="40"/>
      <c r="F102" s="40"/>
      <c r="G102" s="40"/>
      <c r="H102" s="40"/>
    </row>
    <row r="103" spans="1:8">
      <c r="A103" s="37"/>
      <c r="C103" s="39"/>
      <c r="D103" s="40"/>
      <c r="E103" s="40"/>
      <c r="F103" s="40"/>
      <c r="G103" s="40"/>
      <c r="H103" s="40"/>
    </row>
    <row r="104" spans="1:8">
      <c r="A104" s="37"/>
      <c r="C104" s="39"/>
      <c r="D104" s="40"/>
      <c r="E104" s="40"/>
      <c r="F104" s="40"/>
      <c r="G104" s="40"/>
      <c r="H104" s="40"/>
    </row>
    <row r="105" spans="1:8">
      <c r="A105" s="37"/>
      <c r="C105" s="39"/>
      <c r="D105" s="40"/>
      <c r="E105" s="40"/>
      <c r="F105" s="40"/>
      <c r="G105" s="40"/>
      <c r="H105" s="40"/>
    </row>
    <row r="106" spans="1:8">
      <c r="A106" s="37"/>
      <c r="C106" s="39"/>
      <c r="D106" s="40"/>
      <c r="E106" s="40"/>
      <c r="F106" s="40"/>
      <c r="G106" s="40"/>
      <c r="H106" s="40"/>
    </row>
    <row r="107" spans="1:8">
      <c r="A107" s="37"/>
      <c r="C107" s="39"/>
      <c r="D107" s="40"/>
      <c r="E107" s="40"/>
      <c r="F107" s="40"/>
      <c r="G107" s="40"/>
      <c r="H107" s="40"/>
    </row>
    <row r="108" spans="1:8">
      <c r="A108" s="37"/>
      <c r="C108" s="39"/>
      <c r="D108" s="40"/>
      <c r="E108" s="40"/>
      <c r="F108" s="40"/>
      <c r="G108" s="40"/>
      <c r="H108" s="40"/>
    </row>
    <row r="109" spans="1:8">
      <c r="A109" s="37"/>
      <c r="C109" s="39"/>
      <c r="D109" s="40"/>
      <c r="E109" s="40"/>
      <c r="F109" s="40"/>
      <c r="G109" s="40"/>
      <c r="H109" s="40"/>
    </row>
    <row r="110" spans="1:8">
      <c r="A110" s="37"/>
      <c r="C110" s="39"/>
      <c r="D110" s="40"/>
      <c r="E110" s="40"/>
      <c r="F110" s="40"/>
      <c r="G110" s="40"/>
      <c r="H110" s="40"/>
    </row>
    <row r="111" spans="1:8">
      <c r="A111" s="37"/>
      <c r="C111" s="39"/>
      <c r="D111" s="40"/>
      <c r="E111" s="40"/>
      <c r="F111" s="40"/>
      <c r="G111" s="40"/>
      <c r="H111" s="40"/>
    </row>
    <row r="112" spans="1:8">
      <c r="A112" s="37"/>
      <c r="C112" s="39"/>
      <c r="D112" s="40"/>
      <c r="E112" s="40"/>
      <c r="F112" s="40"/>
      <c r="G112" s="40"/>
      <c r="H112" s="40"/>
    </row>
    <row r="113" spans="1:8">
      <c r="A113" s="37"/>
      <c r="C113" s="39"/>
      <c r="D113" s="40"/>
      <c r="E113" s="40"/>
      <c r="F113" s="40"/>
      <c r="G113" s="40"/>
      <c r="H113" s="40"/>
    </row>
    <row r="114" spans="1:8">
      <c r="A114" s="37"/>
      <c r="C114" s="39"/>
      <c r="D114" s="40"/>
      <c r="E114" s="40"/>
      <c r="F114" s="40"/>
      <c r="G114" s="40"/>
      <c r="H114" s="40"/>
    </row>
    <row r="115" spans="1:8">
      <c r="A115" s="37"/>
      <c r="C115" s="39"/>
      <c r="D115" s="40"/>
      <c r="E115" s="40"/>
      <c r="F115" s="40"/>
      <c r="G115" s="40"/>
      <c r="H115" s="40"/>
    </row>
    <row r="116" spans="1:8">
      <c r="A116" s="37"/>
      <c r="C116" s="39"/>
      <c r="D116" s="40"/>
      <c r="E116" s="40"/>
      <c r="F116" s="40"/>
      <c r="G116" s="40"/>
      <c r="H116" s="40"/>
    </row>
    <row r="117" spans="1:8">
      <c r="A117" s="37"/>
      <c r="C117" s="39"/>
      <c r="D117" s="40"/>
      <c r="E117" s="40"/>
      <c r="F117" s="40"/>
      <c r="G117" s="40"/>
      <c r="H117" s="40"/>
    </row>
    <row r="118" spans="1:8">
      <c r="A118" s="37"/>
      <c r="C118" s="39"/>
      <c r="D118" s="40"/>
      <c r="E118" s="40"/>
      <c r="F118" s="40"/>
      <c r="G118" s="40"/>
      <c r="H118" s="40"/>
    </row>
    <row r="119" spans="1:8">
      <c r="A119" s="37"/>
      <c r="C119" s="39"/>
      <c r="D119" s="40"/>
      <c r="E119" s="40"/>
      <c r="F119" s="40"/>
      <c r="G119" s="40"/>
      <c r="H119" s="40"/>
    </row>
    <row r="120" spans="1:8">
      <c r="A120" s="37"/>
      <c r="C120" s="39"/>
      <c r="D120" s="40"/>
      <c r="E120" s="40"/>
      <c r="F120" s="40"/>
      <c r="G120" s="40"/>
      <c r="H120" s="40"/>
    </row>
    <row r="121" spans="1:8">
      <c r="A121" s="37"/>
      <c r="C121" s="39"/>
      <c r="D121" s="40"/>
      <c r="E121" s="40"/>
      <c r="F121" s="40"/>
      <c r="G121" s="40"/>
      <c r="H121" s="40"/>
    </row>
    <row r="122" spans="1:8">
      <c r="A122" s="37"/>
      <c r="C122" s="39"/>
      <c r="D122" s="40"/>
      <c r="E122" s="40"/>
      <c r="F122" s="40"/>
      <c r="G122" s="40"/>
      <c r="H122" s="40"/>
    </row>
    <row r="123" spans="1:8">
      <c r="A123" s="37"/>
      <c r="C123" s="39"/>
      <c r="D123" s="40"/>
      <c r="E123" s="40"/>
      <c r="F123" s="40"/>
      <c r="G123" s="40"/>
      <c r="H123" s="40"/>
    </row>
    <row r="124" spans="1:8">
      <c r="A124" s="37"/>
      <c r="C124" s="39"/>
      <c r="D124" s="40"/>
      <c r="E124" s="40"/>
      <c r="F124" s="40"/>
      <c r="G124" s="40"/>
      <c r="H124" s="40"/>
    </row>
    <row r="125" spans="1:8">
      <c r="A125" s="37"/>
      <c r="C125" s="39"/>
      <c r="D125" s="40"/>
      <c r="E125" s="40"/>
      <c r="F125" s="40"/>
      <c r="G125" s="40"/>
      <c r="H125" s="40"/>
    </row>
    <row r="126" spans="1:8">
      <c r="A126" s="37"/>
      <c r="C126" s="39"/>
      <c r="D126" s="40"/>
      <c r="E126" s="40"/>
      <c r="F126" s="40"/>
      <c r="G126" s="40"/>
      <c r="H126" s="40"/>
    </row>
    <row r="127" spans="1:8">
      <c r="A127" s="37"/>
      <c r="C127" s="39"/>
      <c r="D127" s="40"/>
      <c r="E127" s="40"/>
      <c r="F127" s="40"/>
      <c r="G127" s="40"/>
      <c r="H127" s="40"/>
    </row>
    <row r="128" spans="1:8">
      <c r="A128" s="37"/>
      <c r="C128" s="39"/>
      <c r="D128" s="40"/>
      <c r="E128" s="40"/>
      <c r="F128" s="40"/>
      <c r="G128" s="40"/>
      <c r="H128" s="40"/>
    </row>
    <row r="129" spans="1:8">
      <c r="A129" s="37"/>
      <c r="C129" s="39"/>
      <c r="D129" s="40"/>
      <c r="E129" s="40"/>
      <c r="F129" s="40"/>
      <c r="G129" s="40"/>
      <c r="H129" s="40"/>
    </row>
    <row r="130" spans="1:8">
      <c r="A130" s="37"/>
      <c r="C130" s="39"/>
      <c r="D130" s="40"/>
      <c r="E130" s="40"/>
      <c r="F130" s="40"/>
      <c r="G130" s="40"/>
      <c r="H130" s="40"/>
    </row>
    <row r="131" spans="1:8">
      <c r="A131" s="37"/>
      <c r="C131" s="39"/>
      <c r="D131" s="40"/>
      <c r="E131" s="40"/>
      <c r="F131" s="40"/>
      <c r="G131" s="40"/>
      <c r="H131" s="40"/>
    </row>
    <row r="132" spans="1:8">
      <c r="A132" s="37"/>
    </row>
    <row r="133" spans="1:8">
      <c r="A133" s="41"/>
    </row>
    <row r="134" spans="1:8">
      <c r="A134" s="41"/>
    </row>
    <row r="135" spans="1:8">
      <c r="A135" s="41"/>
    </row>
    <row r="136" spans="1:8">
      <c r="A136" s="41"/>
    </row>
    <row r="137" spans="1:8">
      <c r="A137" s="41"/>
    </row>
    <row r="138" spans="1:8">
      <c r="A138" s="41"/>
    </row>
    <row r="139" spans="1:8">
      <c r="A139" s="41"/>
    </row>
    <row r="140" spans="1:8">
      <c r="A140" s="41"/>
    </row>
    <row r="141" spans="1:8">
      <c r="A141" s="41"/>
    </row>
    <row r="142" spans="1:8">
      <c r="A142" s="41"/>
    </row>
    <row r="143" spans="1:8">
      <c r="A143" s="41"/>
    </row>
    <row r="144" spans="1:8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spans="1:1">
      <c r="A257" s="41"/>
    </row>
    <row r="258" spans="1:1">
      <c r="A258" s="41"/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  <row r="274" spans="1:1">
      <c r="A274" s="41"/>
    </row>
    <row r="275" spans="1:1">
      <c r="A275" s="41"/>
    </row>
    <row r="276" spans="1:1">
      <c r="A276" s="41"/>
    </row>
    <row r="277" spans="1:1">
      <c r="A277" s="41"/>
    </row>
    <row r="278" spans="1:1">
      <c r="A278" s="41"/>
    </row>
    <row r="279" spans="1:1">
      <c r="A279" s="41"/>
    </row>
    <row r="280" spans="1:1">
      <c r="A280" s="41"/>
    </row>
    <row r="281" spans="1:1">
      <c r="A281" s="41"/>
    </row>
    <row r="282" spans="1:1">
      <c r="A282" s="41"/>
    </row>
    <row r="283" spans="1:1">
      <c r="A283" s="41"/>
    </row>
    <row r="284" spans="1:1">
      <c r="A284" s="41"/>
    </row>
    <row r="285" spans="1:1">
      <c r="A285" s="41"/>
    </row>
    <row r="286" spans="1:1">
      <c r="A286" s="41"/>
    </row>
    <row r="287" spans="1:1">
      <c r="A287" s="41"/>
    </row>
    <row r="288" spans="1:1">
      <c r="A288" s="41"/>
    </row>
    <row r="289" spans="1:1">
      <c r="A289" s="41"/>
    </row>
    <row r="290" spans="1:1">
      <c r="A290" s="41"/>
    </row>
    <row r="291" spans="1:1">
      <c r="A291" s="41"/>
    </row>
    <row r="292" spans="1:1">
      <c r="A292" s="41"/>
    </row>
    <row r="293" spans="1:1">
      <c r="A293" s="41"/>
    </row>
    <row r="294" spans="1:1">
      <c r="A294" s="41"/>
    </row>
    <row r="295" spans="1:1">
      <c r="A295" s="41"/>
    </row>
    <row r="296" spans="1:1">
      <c r="A296" s="41"/>
    </row>
    <row r="297" spans="1:1">
      <c r="A297" s="41"/>
    </row>
    <row r="298" spans="1:1">
      <c r="A298" s="41"/>
    </row>
    <row r="299" spans="1:1">
      <c r="A299" s="41"/>
    </row>
  </sheetData>
  <mergeCells count="12">
    <mergeCell ref="C76:D76"/>
    <mergeCell ref="G76:I76"/>
    <mergeCell ref="C77:D77"/>
    <mergeCell ref="G77:I77"/>
    <mergeCell ref="A2:H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39370078740157483" header="0.19685039370078741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2:L273"/>
  <sheetViews>
    <sheetView view="pageBreakPreview" topLeftCell="A10" zoomScale="70" zoomScaleNormal="100" zoomScaleSheetLayoutView="70" workbookViewId="0">
      <selection activeCell="L33" sqref="L33"/>
    </sheetView>
  </sheetViews>
  <sheetFormatPr defaultRowHeight="18.75"/>
  <cols>
    <col min="1" max="1" width="60.28515625" style="1" customWidth="1"/>
    <col min="2" max="2" width="12" style="38" customWidth="1"/>
    <col min="3" max="3" width="16.140625" style="38" customWidth="1"/>
    <col min="4" max="4" width="16.7109375" style="38" customWidth="1"/>
    <col min="5" max="5" width="16.140625" style="38" customWidth="1"/>
    <col min="6" max="6" width="16" style="38" customWidth="1"/>
    <col min="7" max="7" width="16.28515625" style="1" customWidth="1"/>
    <col min="8" max="8" width="16.85546875" style="1" customWidth="1"/>
    <col min="9" max="9" width="16.140625" style="1" customWidth="1"/>
    <col min="10" max="10" width="16.42578125" style="1" customWidth="1"/>
    <col min="11" max="11" width="11" style="1" customWidth="1"/>
    <col min="12" max="16384" width="9.140625" style="1"/>
  </cols>
  <sheetData>
    <row r="2" spans="1:11" ht="27.75" customHeight="1">
      <c r="A2" s="306" t="s">
        <v>198</v>
      </c>
      <c r="B2" s="306"/>
      <c r="C2" s="306"/>
      <c r="D2" s="306"/>
      <c r="E2" s="306"/>
      <c r="F2" s="306"/>
      <c r="G2" s="306"/>
      <c r="H2" s="306"/>
    </row>
    <row r="3" spans="1:11" ht="28.5" customHeight="1">
      <c r="A3" s="2"/>
      <c r="B3" s="3"/>
      <c r="C3" s="2"/>
      <c r="D3" s="2"/>
      <c r="E3" s="2"/>
      <c r="F3" s="3"/>
      <c r="G3" s="2"/>
      <c r="H3" s="2"/>
      <c r="I3" s="307" t="s">
        <v>117</v>
      </c>
      <c r="J3" s="307"/>
    </row>
    <row r="4" spans="1:11" ht="41.25" customHeight="1">
      <c r="A4" s="294" t="s">
        <v>64</v>
      </c>
      <c r="B4" s="287" t="s">
        <v>13</v>
      </c>
      <c r="C4" s="287" t="s">
        <v>381</v>
      </c>
      <c r="D4" s="287" t="s">
        <v>382</v>
      </c>
      <c r="E4" s="287" t="s">
        <v>379</v>
      </c>
      <c r="F4" s="289" t="s">
        <v>383</v>
      </c>
      <c r="G4" s="291" t="s">
        <v>123</v>
      </c>
      <c r="H4" s="292"/>
      <c r="I4" s="292"/>
      <c r="J4" s="293"/>
    </row>
    <row r="5" spans="1:11" ht="54" customHeight="1">
      <c r="A5" s="295"/>
      <c r="B5" s="288"/>
      <c r="C5" s="288"/>
      <c r="D5" s="288"/>
      <c r="E5" s="288"/>
      <c r="F5" s="290"/>
      <c r="G5" s="4" t="s">
        <v>50</v>
      </c>
      <c r="H5" s="4" t="s">
        <v>51</v>
      </c>
      <c r="I5" s="4" t="s">
        <v>52</v>
      </c>
      <c r="J5" s="4" t="s">
        <v>23</v>
      </c>
    </row>
    <row r="6" spans="1:11" ht="23.25" customHeight="1">
      <c r="A6" s="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6">
        <v>9</v>
      </c>
      <c r="J6" s="6">
        <v>10</v>
      </c>
    </row>
    <row r="7" spans="1:11" ht="42.75" customHeight="1">
      <c r="A7" s="95" t="s">
        <v>31</v>
      </c>
      <c r="B7" s="7"/>
      <c r="C7" s="22">
        <f>C8+C46</f>
        <v>12708.400000000001</v>
      </c>
      <c r="D7" s="22">
        <f>D8+D46</f>
        <v>5258.2</v>
      </c>
      <c r="E7" s="22">
        <f>E8+E46</f>
        <v>12886</v>
      </c>
      <c r="F7" s="22">
        <f>G7+H7+I7+J7</f>
        <v>1750</v>
      </c>
      <c r="G7" s="22">
        <f>G8+G46</f>
        <v>0</v>
      </c>
      <c r="H7" s="22">
        <f>H8+H46</f>
        <v>0</v>
      </c>
      <c r="I7" s="22">
        <f>I8+I46</f>
        <v>0</v>
      </c>
      <c r="J7" s="22">
        <f>J8+J46</f>
        <v>1750</v>
      </c>
      <c r="K7" s="146"/>
    </row>
    <row r="8" spans="1:11" s="147" customFormat="1" ht="39.75" customHeight="1">
      <c r="A8" s="81" t="s">
        <v>503</v>
      </c>
      <c r="B8" s="97">
        <v>4020</v>
      </c>
      <c r="C8" s="54">
        <f>SUM(C9:C31)</f>
        <v>8936.9000000000015</v>
      </c>
      <c r="D8" s="54">
        <f t="shared" ref="D8" si="0">SUM(D9:D31)</f>
        <v>3000</v>
      </c>
      <c r="E8" s="54">
        <f>SUM(E9:E45)</f>
        <v>10683.199999999999</v>
      </c>
      <c r="F8" s="54">
        <f t="shared" ref="F8:F48" si="1">G8+H8+I8+J8</f>
        <v>1750</v>
      </c>
      <c r="G8" s="54">
        <v>0</v>
      </c>
      <c r="H8" s="54">
        <v>0</v>
      </c>
      <c r="I8" s="98">
        <v>0</v>
      </c>
      <c r="J8" s="98">
        <v>1750</v>
      </c>
      <c r="K8" s="146"/>
    </row>
    <row r="9" spans="1:11" s="147" customFormat="1">
      <c r="A9" s="111" t="s">
        <v>447</v>
      </c>
      <c r="B9" s="101"/>
      <c r="C9" s="23">
        <v>8.3000000000000007</v>
      </c>
      <c r="D9" s="24"/>
      <c r="E9" s="24"/>
      <c r="F9" s="23">
        <f t="shared" si="1"/>
        <v>0</v>
      </c>
      <c r="G9" s="24"/>
      <c r="H9" s="24"/>
      <c r="I9" s="96"/>
      <c r="J9" s="96"/>
      <c r="K9" s="146"/>
    </row>
    <row r="10" spans="1:11" s="147" customFormat="1">
      <c r="A10" s="111" t="s">
        <v>448</v>
      </c>
      <c r="B10" s="101"/>
      <c r="C10" s="23">
        <v>64.2</v>
      </c>
      <c r="D10" s="24"/>
      <c r="E10" s="24"/>
      <c r="F10" s="23">
        <f t="shared" si="1"/>
        <v>0</v>
      </c>
      <c r="G10" s="24"/>
      <c r="H10" s="24"/>
      <c r="I10" s="96"/>
      <c r="J10" s="96"/>
      <c r="K10" s="146"/>
    </row>
    <row r="11" spans="1:11" s="147" customFormat="1">
      <c r="A11" s="111" t="s">
        <v>449</v>
      </c>
      <c r="B11" s="101"/>
      <c r="C11" s="23">
        <v>26.3</v>
      </c>
      <c r="D11" s="24"/>
      <c r="E11" s="24"/>
      <c r="F11" s="23">
        <f t="shared" si="1"/>
        <v>0</v>
      </c>
      <c r="G11" s="24"/>
      <c r="H11" s="24"/>
      <c r="I11" s="96"/>
      <c r="J11" s="96"/>
      <c r="K11" s="146"/>
    </row>
    <row r="12" spans="1:11" s="147" customFormat="1">
      <c r="A12" s="111" t="s">
        <v>450</v>
      </c>
      <c r="B12" s="101"/>
      <c r="C12" s="23">
        <v>18.5</v>
      </c>
      <c r="D12" s="24"/>
      <c r="E12" s="24"/>
      <c r="F12" s="23">
        <f t="shared" si="1"/>
        <v>0</v>
      </c>
      <c r="G12" s="24"/>
      <c r="H12" s="24"/>
      <c r="I12" s="96"/>
      <c r="J12" s="96"/>
      <c r="K12" s="146"/>
    </row>
    <row r="13" spans="1:11" s="147" customFormat="1">
      <c r="A13" s="111" t="s">
        <v>451</v>
      </c>
      <c r="B13" s="101"/>
      <c r="C13" s="23">
        <v>22</v>
      </c>
      <c r="D13" s="24"/>
      <c r="E13" s="24"/>
      <c r="F13" s="23">
        <f t="shared" si="1"/>
        <v>0</v>
      </c>
      <c r="G13" s="24"/>
      <c r="H13" s="24"/>
      <c r="I13" s="96"/>
      <c r="J13" s="96"/>
      <c r="K13" s="146"/>
    </row>
    <row r="14" spans="1:11" s="147" customFormat="1">
      <c r="A14" s="111" t="s">
        <v>452</v>
      </c>
      <c r="B14" s="101"/>
      <c r="C14" s="23">
        <v>28.8</v>
      </c>
      <c r="D14" s="24"/>
      <c r="E14" s="24"/>
      <c r="F14" s="23">
        <f t="shared" si="1"/>
        <v>0</v>
      </c>
      <c r="G14" s="24"/>
      <c r="H14" s="24"/>
      <c r="I14" s="96"/>
      <c r="J14" s="96"/>
      <c r="K14" s="146"/>
    </row>
    <row r="15" spans="1:11" s="147" customFormat="1">
      <c r="A15" s="111" t="s">
        <v>453</v>
      </c>
      <c r="B15" s="101"/>
      <c r="C15" s="23">
        <v>94</v>
      </c>
      <c r="D15" s="24"/>
      <c r="E15" s="24"/>
      <c r="F15" s="23">
        <f t="shared" si="1"/>
        <v>0</v>
      </c>
      <c r="G15" s="24"/>
      <c r="H15" s="24"/>
      <c r="I15" s="96"/>
      <c r="J15" s="96"/>
      <c r="K15" s="146"/>
    </row>
    <row r="16" spans="1:11" s="147" customFormat="1">
      <c r="A16" s="111" t="s">
        <v>454</v>
      </c>
      <c r="B16" s="101"/>
      <c r="C16" s="23">
        <v>12.5</v>
      </c>
      <c r="D16" s="24"/>
      <c r="E16" s="24"/>
      <c r="F16" s="23">
        <f t="shared" si="1"/>
        <v>0</v>
      </c>
      <c r="G16" s="24"/>
      <c r="H16" s="24"/>
      <c r="I16" s="96"/>
      <c r="J16" s="96"/>
      <c r="K16" s="146"/>
    </row>
    <row r="17" spans="1:11" s="147" customFormat="1">
      <c r="A17" s="111" t="s">
        <v>455</v>
      </c>
      <c r="B17" s="101"/>
      <c r="C17" s="23">
        <v>251.9</v>
      </c>
      <c r="D17" s="24"/>
      <c r="E17" s="24"/>
      <c r="F17" s="23">
        <f t="shared" si="1"/>
        <v>0</v>
      </c>
      <c r="G17" s="24"/>
      <c r="H17" s="24"/>
      <c r="I17" s="96"/>
      <c r="J17" s="96"/>
      <c r="K17" s="146"/>
    </row>
    <row r="18" spans="1:11" s="147" customFormat="1">
      <c r="A18" s="111" t="s">
        <v>456</v>
      </c>
      <c r="B18" s="101"/>
      <c r="C18" s="23">
        <v>81</v>
      </c>
      <c r="D18" s="23">
        <v>378</v>
      </c>
      <c r="E18" s="23">
        <v>378</v>
      </c>
      <c r="F18" s="23">
        <f t="shared" si="1"/>
        <v>0</v>
      </c>
      <c r="G18" s="24"/>
      <c r="H18" s="24"/>
      <c r="I18" s="96"/>
      <c r="J18" s="96"/>
      <c r="K18" s="146"/>
    </row>
    <row r="19" spans="1:11" s="147" customFormat="1">
      <c r="A19" s="111" t="s">
        <v>457</v>
      </c>
      <c r="B19" s="101"/>
      <c r="C19" s="23">
        <v>180</v>
      </c>
      <c r="D19" s="24"/>
      <c r="E19" s="24"/>
      <c r="F19" s="23">
        <f t="shared" si="1"/>
        <v>0</v>
      </c>
      <c r="G19" s="24"/>
      <c r="H19" s="24"/>
      <c r="I19" s="96"/>
      <c r="J19" s="96"/>
      <c r="K19" s="146"/>
    </row>
    <row r="20" spans="1:11" s="147" customFormat="1">
      <c r="A20" s="111" t="s">
        <v>458</v>
      </c>
      <c r="B20" s="101"/>
      <c r="C20" s="23">
        <v>167.4</v>
      </c>
      <c r="D20" s="24"/>
      <c r="E20" s="24"/>
      <c r="F20" s="23">
        <f t="shared" si="1"/>
        <v>0</v>
      </c>
      <c r="G20" s="24"/>
      <c r="H20" s="24"/>
      <c r="I20" s="96"/>
      <c r="J20" s="96"/>
      <c r="K20" s="146"/>
    </row>
    <row r="21" spans="1:11" s="147" customFormat="1">
      <c r="A21" s="111" t="s">
        <v>459</v>
      </c>
      <c r="B21" s="101"/>
      <c r="C21" s="23">
        <v>90.9</v>
      </c>
      <c r="D21" s="24"/>
      <c r="E21" s="24"/>
      <c r="F21" s="23">
        <f t="shared" si="1"/>
        <v>0</v>
      </c>
      <c r="G21" s="24"/>
      <c r="H21" s="24"/>
      <c r="I21" s="96"/>
      <c r="J21" s="96"/>
      <c r="K21" s="146"/>
    </row>
    <row r="22" spans="1:11" s="147" customFormat="1">
      <c r="A22" s="111" t="s">
        <v>460</v>
      </c>
      <c r="B22" s="101"/>
      <c r="C22" s="23">
        <v>2385</v>
      </c>
      <c r="D22" s="23">
        <v>2385</v>
      </c>
      <c r="E22" s="23">
        <v>5806.3</v>
      </c>
      <c r="F22" s="23">
        <f t="shared" si="1"/>
        <v>0</v>
      </c>
      <c r="G22" s="23"/>
      <c r="H22" s="23"/>
      <c r="I22" s="30"/>
      <c r="J22" s="30"/>
      <c r="K22" s="146"/>
    </row>
    <row r="23" spans="1:11" s="147" customFormat="1" ht="34.5" customHeight="1">
      <c r="A23" s="111" t="s">
        <v>461</v>
      </c>
      <c r="B23" s="101"/>
      <c r="C23" s="23">
        <v>298</v>
      </c>
      <c r="D23" s="23"/>
      <c r="E23" s="23"/>
      <c r="F23" s="23">
        <f t="shared" si="1"/>
        <v>0</v>
      </c>
      <c r="G23" s="23"/>
      <c r="H23" s="23"/>
      <c r="I23" s="30"/>
      <c r="J23" s="30"/>
      <c r="K23" s="146"/>
    </row>
    <row r="24" spans="1:11" s="147" customFormat="1">
      <c r="A24" s="111" t="s">
        <v>462</v>
      </c>
      <c r="B24" s="101"/>
      <c r="C24" s="23">
        <v>918.4</v>
      </c>
      <c r="D24" s="23"/>
      <c r="E24" s="23"/>
      <c r="F24" s="23">
        <f t="shared" si="1"/>
        <v>0</v>
      </c>
      <c r="G24" s="23"/>
      <c r="H24" s="23"/>
      <c r="I24" s="30"/>
      <c r="J24" s="30"/>
      <c r="K24" s="146"/>
    </row>
    <row r="25" spans="1:11" s="147" customFormat="1">
      <c r="A25" s="111" t="s">
        <v>463</v>
      </c>
      <c r="B25" s="101"/>
      <c r="C25" s="23">
        <v>83.6</v>
      </c>
      <c r="D25" s="23">
        <v>237</v>
      </c>
      <c r="E25" s="23">
        <v>663.7</v>
      </c>
      <c r="F25" s="23">
        <f t="shared" si="1"/>
        <v>0</v>
      </c>
      <c r="G25" s="23"/>
      <c r="H25" s="23"/>
      <c r="I25" s="30"/>
      <c r="J25" s="30"/>
      <c r="K25" s="146"/>
    </row>
    <row r="26" spans="1:11" s="147" customFormat="1">
      <c r="A26" s="111" t="s">
        <v>464</v>
      </c>
      <c r="B26" s="101"/>
      <c r="C26" s="23">
        <v>267</v>
      </c>
      <c r="D26" s="23"/>
      <c r="E26" s="23"/>
      <c r="F26" s="23">
        <f t="shared" si="1"/>
        <v>0</v>
      </c>
      <c r="G26" s="23"/>
      <c r="H26" s="23"/>
      <c r="I26" s="30"/>
      <c r="J26" s="30"/>
      <c r="K26" s="146"/>
    </row>
    <row r="27" spans="1:11" s="147" customFormat="1">
      <c r="A27" s="111" t="s">
        <v>465</v>
      </c>
      <c r="B27" s="101"/>
      <c r="C27" s="23">
        <v>167.1</v>
      </c>
      <c r="D27" s="23"/>
      <c r="E27" s="23"/>
      <c r="F27" s="23">
        <f t="shared" si="1"/>
        <v>0</v>
      </c>
      <c r="G27" s="23"/>
      <c r="H27" s="23"/>
      <c r="I27" s="30"/>
      <c r="J27" s="30"/>
      <c r="K27" s="146"/>
    </row>
    <row r="28" spans="1:11" s="147" customFormat="1" ht="23.25" customHeight="1">
      <c r="A28" s="111" t="s">
        <v>466</v>
      </c>
      <c r="B28" s="101"/>
      <c r="C28" s="23">
        <v>630</v>
      </c>
      <c r="D28" s="23"/>
      <c r="E28" s="23"/>
      <c r="F28" s="23">
        <f t="shared" si="1"/>
        <v>0</v>
      </c>
      <c r="G28" s="23"/>
      <c r="H28" s="23"/>
      <c r="I28" s="30"/>
      <c r="J28" s="30"/>
      <c r="K28" s="146"/>
    </row>
    <row r="29" spans="1:11" s="147" customFormat="1">
      <c r="A29" s="111" t="s">
        <v>467</v>
      </c>
      <c r="B29" s="101"/>
      <c r="C29" s="23">
        <v>197.5</v>
      </c>
      <c r="D29" s="23"/>
      <c r="E29" s="23"/>
      <c r="F29" s="23">
        <f t="shared" si="1"/>
        <v>0</v>
      </c>
      <c r="G29" s="23"/>
      <c r="H29" s="23"/>
      <c r="I29" s="30"/>
      <c r="J29" s="30"/>
      <c r="K29" s="146"/>
    </row>
    <row r="30" spans="1:11" s="147" customFormat="1">
      <c r="A30" s="111" t="s">
        <v>468</v>
      </c>
      <c r="B30" s="101"/>
      <c r="C30" s="23">
        <v>94.5</v>
      </c>
      <c r="D30" s="23"/>
      <c r="E30" s="23"/>
      <c r="F30" s="23">
        <f t="shared" si="1"/>
        <v>0</v>
      </c>
      <c r="G30" s="23"/>
      <c r="H30" s="23"/>
      <c r="I30" s="30"/>
      <c r="J30" s="30"/>
      <c r="K30" s="146"/>
    </row>
    <row r="31" spans="1:11" s="147" customFormat="1">
      <c r="A31" s="111" t="s">
        <v>469</v>
      </c>
      <c r="B31" s="101"/>
      <c r="C31" s="23">
        <v>2850</v>
      </c>
      <c r="D31" s="23"/>
      <c r="E31" s="23"/>
      <c r="F31" s="23">
        <f t="shared" si="1"/>
        <v>0</v>
      </c>
      <c r="G31" s="23"/>
      <c r="H31" s="23"/>
      <c r="I31" s="30"/>
      <c r="J31" s="30"/>
      <c r="K31" s="146"/>
    </row>
    <row r="32" spans="1:11" s="147" customFormat="1">
      <c r="A32" s="111" t="s">
        <v>470</v>
      </c>
      <c r="B32" s="101"/>
      <c r="C32" s="7"/>
      <c r="D32" s="23"/>
      <c r="E32" s="23"/>
      <c r="F32" s="23">
        <f t="shared" si="1"/>
        <v>1750</v>
      </c>
      <c r="G32" s="23"/>
      <c r="H32" s="23"/>
      <c r="I32" s="30"/>
      <c r="J32" s="30">
        <v>1750</v>
      </c>
      <c r="K32" s="146"/>
    </row>
    <row r="33" spans="1:12" s="147" customFormat="1">
      <c r="A33" s="111" t="s">
        <v>471</v>
      </c>
      <c r="B33" s="101"/>
      <c r="C33" s="7"/>
      <c r="D33" s="23"/>
      <c r="E33" s="23">
        <v>105</v>
      </c>
      <c r="F33" s="23">
        <v>0</v>
      </c>
      <c r="G33" s="23"/>
      <c r="H33" s="23"/>
      <c r="I33" s="30"/>
      <c r="J33" s="30"/>
      <c r="K33" s="146"/>
      <c r="L33" s="147" t="s">
        <v>521</v>
      </c>
    </row>
    <row r="34" spans="1:12" s="147" customFormat="1">
      <c r="A34" s="111" t="s">
        <v>504</v>
      </c>
      <c r="B34" s="101"/>
      <c r="C34" s="7"/>
      <c r="D34" s="23"/>
      <c r="E34" s="23">
        <v>158</v>
      </c>
      <c r="F34" s="23">
        <v>0</v>
      </c>
      <c r="G34" s="23"/>
      <c r="H34" s="23"/>
      <c r="I34" s="30"/>
      <c r="J34" s="30"/>
      <c r="K34" s="146"/>
    </row>
    <row r="35" spans="1:12" s="147" customFormat="1">
      <c r="A35" s="111" t="s">
        <v>505</v>
      </c>
      <c r="B35" s="101"/>
      <c r="C35" s="7"/>
      <c r="D35" s="23"/>
      <c r="E35" s="23">
        <v>211.9</v>
      </c>
      <c r="F35" s="23">
        <v>0</v>
      </c>
      <c r="G35" s="23"/>
      <c r="H35" s="23"/>
      <c r="I35" s="30"/>
      <c r="J35" s="30"/>
      <c r="K35" s="146"/>
    </row>
    <row r="36" spans="1:12" s="147" customFormat="1">
      <c r="A36" s="111" t="s">
        <v>506</v>
      </c>
      <c r="B36" s="101"/>
      <c r="C36" s="7"/>
      <c r="D36" s="23"/>
      <c r="E36" s="23">
        <v>1592.2</v>
      </c>
      <c r="F36" s="23">
        <v>0</v>
      </c>
      <c r="G36" s="23"/>
      <c r="H36" s="23"/>
      <c r="I36" s="30"/>
      <c r="J36" s="30"/>
      <c r="K36" s="146"/>
    </row>
    <row r="37" spans="1:12" s="147" customFormat="1">
      <c r="A37" s="111" t="s">
        <v>507</v>
      </c>
      <c r="B37" s="101"/>
      <c r="C37" s="7"/>
      <c r="D37" s="23"/>
      <c r="E37" s="23">
        <v>508.2</v>
      </c>
      <c r="F37" s="23">
        <v>0</v>
      </c>
      <c r="G37" s="23"/>
      <c r="H37" s="23"/>
      <c r="I37" s="30"/>
      <c r="J37" s="30"/>
      <c r="K37" s="146"/>
    </row>
    <row r="38" spans="1:12" s="147" customFormat="1">
      <c r="A38" s="111" t="s">
        <v>508</v>
      </c>
      <c r="B38" s="101"/>
      <c r="C38" s="7"/>
      <c r="D38" s="23"/>
      <c r="E38" s="23">
        <v>22.4</v>
      </c>
      <c r="F38" s="23">
        <v>0</v>
      </c>
      <c r="G38" s="23"/>
      <c r="H38" s="23"/>
      <c r="I38" s="30"/>
      <c r="J38" s="30"/>
      <c r="K38" s="146"/>
    </row>
    <row r="39" spans="1:12" s="147" customFormat="1">
      <c r="A39" s="111" t="s">
        <v>509</v>
      </c>
      <c r="B39" s="101"/>
      <c r="C39" s="7"/>
      <c r="D39" s="23"/>
      <c r="E39" s="23">
        <v>24</v>
      </c>
      <c r="F39" s="23">
        <v>0</v>
      </c>
      <c r="G39" s="23"/>
      <c r="H39" s="23"/>
      <c r="I39" s="30"/>
      <c r="J39" s="30"/>
      <c r="K39" s="146"/>
    </row>
    <row r="40" spans="1:12" s="147" customFormat="1">
      <c r="A40" s="111" t="s">
        <v>510</v>
      </c>
      <c r="B40" s="101"/>
      <c r="C40" s="7"/>
      <c r="D40" s="23"/>
      <c r="E40" s="23">
        <v>438.6</v>
      </c>
      <c r="F40" s="23">
        <v>0</v>
      </c>
      <c r="G40" s="23"/>
      <c r="H40" s="23"/>
      <c r="I40" s="30"/>
      <c r="J40" s="30"/>
      <c r="K40" s="146"/>
    </row>
    <row r="41" spans="1:12" s="147" customFormat="1">
      <c r="A41" s="111" t="s">
        <v>511</v>
      </c>
      <c r="B41" s="101"/>
      <c r="C41" s="7"/>
      <c r="D41" s="23"/>
      <c r="E41" s="23">
        <v>16.8</v>
      </c>
      <c r="F41" s="23">
        <v>0</v>
      </c>
      <c r="G41" s="23"/>
      <c r="H41" s="23"/>
      <c r="I41" s="30"/>
      <c r="J41" s="30"/>
      <c r="K41" s="146"/>
    </row>
    <row r="42" spans="1:12" s="147" customFormat="1">
      <c r="A42" s="111" t="s">
        <v>512</v>
      </c>
      <c r="B42" s="101"/>
      <c r="C42" s="7"/>
      <c r="D42" s="23"/>
      <c r="E42" s="23">
        <v>39.4</v>
      </c>
      <c r="F42" s="23">
        <v>0</v>
      </c>
      <c r="G42" s="23"/>
      <c r="H42" s="23"/>
      <c r="I42" s="30"/>
      <c r="J42" s="30"/>
      <c r="K42" s="146"/>
    </row>
    <row r="43" spans="1:12" s="147" customFormat="1">
      <c r="A43" s="111" t="s">
        <v>513</v>
      </c>
      <c r="B43" s="101"/>
      <c r="C43" s="7"/>
      <c r="D43" s="23"/>
      <c r="E43" s="23">
        <v>8.9</v>
      </c>
      <c r="F43" s="23">
        <v>0</v>
      </c>
      <c r="G43" s="23"/>
      <c r="H43" s="23"/>
      <c r="I43" s="30"/>
      <c r="J43" s="30"/>
      <c r="K43" s="146"/>
    </row>
    <row r="44" spans="1:12" s="147" customFormat="1">
      <c r="A44" s="111" t="s">
        <v>514</v>
      </c>
      <c r="B44" s="101"/>
      <c r="C44" s="7"/>
      <c r="D44" s="23"/>
      <c r="E44" s="23">
        <v>9.8000000000000007</v>
      </c>
      <c r="F44" s="23">
        <v>0</v>
      </c>
      <c r="G44" s="23"/>
      <c r="H44" s="23"/>
      <c r="I44" s="30"/>
      <c r="J44" s="30"/>
      <c r="K44" s="146"/>
    </row>
    <row r="45" spans="1:12" s="147" customFormat="1">
      <c r="A45" s="111" t="s">
        <v>470</v>
      </c>
      <c r="B45" s="101"/>
      <c r="C45" s="7"/>
      <c r="D45" s="23"/>
      <c r="E45" s="23">
        <v>700</v>
      </c>
      <c r="F45" s="23">
        <v>0</v>
      </c>
      <c r="G45" s="23"/>
      <c r="H45" s="23"/>
      <c r="I45" s="30"/>
      <c r="J45" s="30"/>
      <c r="K45" s="146"/>
    </row>
    <row r="46" spans="1:12" s="147" customFormat="1" ht="25.5" customHeight="1">
      <c r="A46" s="81" t="s">
        <v>515</v>
      </c>
      <c r="B46" s="97">
        <v>4060</v>
      </c>
      <c r="C46" s="54">
        <v>3771.5</v>
      </c>
      <c r="D46" s="54">
        <f>D48</f>
        <v>2258.1999999999998</v>
      </c>
      <c r="E46" s="54">
        <f>E48</f>
        <v>2202.8000000000002</v>
      </c>
      <c r="F46" s="22">
        <f t="shared" si="1"/>
        <v>0</v>
      </c>
      <c r="G46" s="22">
        <f t="shared" ref="G46" si="2">H46+I46+J46+K46</f>
        <v>0</v>
      </c>
      <c r="H46" s="22">
        <f t="shared" ref="H46" si="3">I46+J46+K46+L46</f>
        <v>0</v>
      </c>
      <c r="I46" s="22">
        <f t="shared" ref="I46" si="4">J46+K46+L46+M46</f>
        <v>0</v>
      </c>
      <c r="J46" s="22">
        <f t="shared" ref="J46" si="5">K46+L46+M46+N46</f>
        <v>0</v>
      </c>
      <c r="K46" s="146"/>
    </row>
    <row r="47" spans="1:12" s="147" customFormat="1" ht="55.5" customHeight="1">
      <c r="A47" s="42" t="s">
        <v>472</v>
      </c>
      <c r="B47" s="148"/>
      <c r="C47" s="23">
        <v>3771.5</v>
      </c>
      <c r="D47" s="24"/>
      <c r="E47" s="24"/>
      <c r="F47" s="22">
        <f t="shared" si="1"/>
        <v>0</v>
      </c>
      <c r="G47" s="24"/>
      <c r="H47" s="24"/>
      <c r="I47" s="24"/>
      <c r="J47" s="24"/>
      <c r="K47" s="146"/>
    </row>
    <row r="48" spans="1:12" s="147" customFormat="1" ht="41.25" customHeight="1">
      <c r="A48" s="149" t="s">
        <v>473</v>
      </c>
      <c r="B48" s="99"/>
      <c r="C48" s="23"/>
      <c r="D48" s="23">
        <v>2258.1999999999998</v>
      </c>
      <c r="E48" s="23">
        <v>2202.8000000000002</v>
      </c>
      <c r="F48" s="23">
        <f t="shared" si="1"/>
        <v>0</v>
      </c>
      <c r="G48" s="23"/>
      <c r="H48" s="23"/>
      <c r="I48" s="30"/>
      <c r="J48" s="30"/>
      <c r="K48" s="146"/>
    </row>
    <row r="49" spans="1:9">
      <c r="A49" s="37"/>
      <c r="C49" s="39"/>
      <c r="D49" s="40"/>
      <c r="E49" s="40"/>
      <c r="F49" s="40"/>
      <c r="G49" s="40"/>
      <c r="H49" s="40"/>
    </row>
    <row r="50" spans="1:9" ht="26.25" customHeight="1">
      <c r="A50" s="89" t="s">
        <v>433</v>
      </c>
      <c r="B50" s="63"/>
      <c r="C50" s="302"/>
      <c r="D50" s="302"/>
      <c r="E50" s="126"/>
      <c r="F50" s="64"/>
      <c r="G50" s="303" t="s">
        <v>432</v>
      </c>
      <c r="H50" s="304"/>
      <c r="I50" s="304"/>
    </row>
    <row r="51" spans="1:9">
      <c r="A51" s="38" t="s">
        <v>133</v>
      </c>
      <c r="B51" s="1"/>
      <c r="C51" s="305" t="s">
        <v>149</v>
      </c>
      <c r="D51" s="305"/>
      <c r="E51" s="125"/>
      <c r="F51" s="1"/>
      <c r="G51" s="301" t="s">
        <v>35</v>
      </c>
      <c r="H51" s="301"/>
      <c r="I51" s="301"/>
    </row>
    <row r="52" spans="1:9">
      <c r="A52" s="37"/>
      <c r="C52" s="39"/>
      <c r="D52" s="40"/>
      <c r="E52" s="40"/>
      <c r="F52" s="40"/>
      <c r="G52" s="40"/>
      <c r="H52" s="40"/>
    </row>
    <row r="53" spans="1:9">
      <c r="A53" s="37"/>
      <c r="C53" s="39"/>
      <c r="D53" s="40"/>
      <c r="E53" s="40"/>
      <c r="F53" s="40"/>
      <c r="G53" s="40"/>
      <c r="H53" s="40"/>
    </row>
    <row r="54" spans="1:9">
      <c r="A54" s="37"/>
      <c r="C54" s="39"/>
      <c r="D54" s="40"/>
      <c r="E54" s="40"/>
      <c r="F54" s="40"/>
      <c r="G54" s="40"/>
      <c r="H54" s="40"/>
    </row>
    <row r="55" spans="1:9">
      <c r="A55" s="37"/>
      <c r="C55" s="39"/>
      <c r="D55" s="40"/>
      <c r="E55" s="40"/>
      <c r="F55" s="40"/>
      <c r="G55" s="40"/>
      <c r="H55" s="40"/>
    </row>
    <row r="56" spans="1:9">
      <c r="A56" s="37"/>
      <c r="C56" s="39"/>
      <c r="D56" s="40"/>
      <c r="E56" s="40"/>
      <c r="F56" s="40"/>
      <c r="G56" s="40"/>
      <c r="H56" s="40"/>
    </row>
    <row r="57" spans="1:9">
      <c r="A57" s="37"/>
      <c r="C57" s="39"/>
      <c r="D57" s="40"/>
      <c r="E57" s="40"/>
      <c r="F57" s="40"/>
      <c r="G57" s="40"/>
      <c r="H57" s="40"/>
    </row>
    <row r="58" spans="1:9">
      <c r="A58" s="37"/>
      <c r="C58" s="39"/>
      <c r="D58" s="40"/>
      <c r="E58" s="40"/>
      <c r="F58" s="40"/>
      <c r="G58" s="40"/>
      <c r="H58" s="40"/>
    </row>
    <row r="59" spans="1:9">
      <c r="A59" s="37"/>
      <c r="C59" s="39"/>
      <c r="D59" s="40"/>
      <c r="E59" s="40"/>
      <c r="F59" s="40"/>
      <c r="G59" s="40"/>
      <c r="H59" s="40"/>
    </row>
    <row r="60" spans="1:9">
      <c r="A60" s="37"/>
      <c r="C60" s="39"/>
      <c r="D60" s="40"/>
      <c r="E60" s="40"/>
      <c r="F60" s="40"/>
      <c r="G60" s="40"/>
      <c r="H60" s="40"/>
    </row>
    <row r="61" spans="1:9">
      <c r="A61" s="37"/>
      <c r="C61" s="39"/>
      <c r="D61" s="40"/>
      <c r="E61" s="40"/>
      <c r="F61" s="40"/>
      <c r="G61" s="40"/>
      <c r="H61" s="40"/>
    </row>
    <row r="62" spans="1:9">
      <c r="A62" s="37"/>
      <c r="C62" s="39"/>
      <c r="D62" s="40"/>
      <c r="E62" s="40"/>
      <c r="F62" s="40"/>
      <c r="G62" s="40"/>
      <c r="H62" s="40"/>
    </row>
    <row r="63" spans="1:9">
      <c r="A63" s="37"/>
      <c r="C63" s="39"/>
      <c r="D63" s="40"/>
      <c r="E63" s="40"/>
      <c r="F63" s="40"/>
      <c r="G63" s="40"/>
      <c r="H63" s="40"/>
    </row>
    <row r="64" spans="1:9">
      <c r="A64" s="37"/>
      <c r="C64" s="39"/>
      <c r="D64" s="40"/>
      <c r="E64" s="40"/>
      <c r="F64" s="40"/>
      <c r="G64" s="40"/>
      <c r="H64" s="40"/>
    </row>
    <row r="65" spans="1:8">
      <c r="A65" s="37"/>
      <c r="C65" s="39"/>
      <c r="D65" s="40"/>
      <c r="E65" s="40"/>
      <c r="F65" s="40"/>
      <c r="G65" s="40"/>
      <c r="H65" s="40"/>
    </row>
    <row r="66" spans="1:8">
      <c r="A66" s="37"/>
      <c r="C66" s="39"/>
      <c r="D66" s="40"/>
      <c r="E66" s="40"/>
      <c r="F66" s="40"/>
      <c r="G66" s="40"/>
      <c r="H66" s="40"/>
    </row>
    <row r="67" spans="1:8">
      <c r="A67" s="37"/>
      <c r="C67" s="39"/>
      <c r="D67" s="40"/>
      <c r="E67" s="40"/>
      <c r="F67" s="40"/>
      <c r="G67" s="40"/>
      <c r="H67" s="40"/>
    </row>
    <row r="68" spans="1:8">
      <c r="A68" s="37"/>
      <c r="C68" s="39"/>
      <c r="D68" s="40"/>
      <c r="E68" s="40"/>
      <c r="F68" s="40"/>
      <c r="G68" s="40"/>
      <c r="H68" s="40"/>
    </row>
    <row r="69" spans="1:8">
      <c r="A69" s="37"/>
      <c r="C69" s="39"/>
      <c r="D69" s="40"/>
      <c r="E69" s="40"/>
      <c r="F69" s="40"/>
      <c r="G69" s="40"/>
      <c r="H69" s="40"/>
    </row>
    <row r="70" spans="1:8">
      <c r="A70" s="37"/>
      <c r="C70" s="39"/>
      <c r="D70" s="40"/>
      <c r="E70" s="40"/>
      <c r="F70" s="40"/>
      <c r="G70" s="40"/>
      <c r="H70" s="40"/>
    </row>
    <row r="71" spans="1:8">
      <c r="A71" s="37"/>
      <c r="C71" s="39"/>
      <c r="D71" s="40"/>
      <c r="E71" s="40"/>
      <c r="F71" s="40"/>
      <c r="G71" s="40"/>
      <c r="H71" s="40"/>
    </row>
    <row r="72" spans="1:8">
      <c r="A72" s="37"/>
      <c r="C72" s="39"/>
      <c r="D72" s="40"/>
      <c r="E72" s="40"/>
      <c r="F72" s="40"/>
      <c r="G72" s="40"/>
      <c r="H72" s="40"/>
    </row>
    <row r="73" spans="1:8">
      <c r="A73" s="37"/>
      <c r="C73" s="39"/>
      <c r="D73" s="40"/>
      <c r="E73" s="40"/>
      <c r="F73" s="40"/>
      <c r="G73" s="40"/>
      <c r="H73" s="40"/>
    </row>
    <row r="74" spans="1:8">
      <c r="A74" s="37"/>
      <c r="C74" s="39"/>
      <c r="D74" s="40"/>
      <c r="E74" s="40"/>
      <c r="F74" s="40"/>
      <c r="G74" s="40"/>
      <c r="H74" s="40"/>
    </row>
    <row r="75" spans="1:8">
      <c r="A75" s="37"/>
      <c r="C75" s="39"/>
      <c r="D75" s="40"/>
      <c r="E75" s="40"/>
      <c r="F75" s="40"/>
      <c r="G75" s="40"/>
      <c r="H75" s="40"/>
    </row>
    <row r="76" spans="1:8">
      <c r="A76" s="37"/>
      <c r="C76" s="39"/>
      <c r="D76" s="40"/>
      <c r="E76" s="40"/>
      <c r="F76" s="40"/>
      <c r="G76" s="40"/>
      <c r="H76" s="40"/>
    </row>
    <row r="77" spans="1:8">
      <c r="A77" s="37"/>
      <c r="C77" s="39"/>
      <c r="D77" s="40"/>
      <c r="E77" s="40"/>
      <c r="F77" s="40"/>
      <c r="G77" s="40"/>
      <c r="H77" s="40"/>
    </row>
    <row r="78" spans="1:8">
      <c r="A78" s="37"/>
      <c r="C78" s="39"/>
      <c r="D78" s="40"/>
      <c r="E78" s="40"/>
      <c r="F78" s="40"/>
      <c r="G78" s="40"/>
      <c r="H78" s="40"/>
    </row>
    <row r="79" spans="1:8">
      <c r="A79" s="37"/>
      <c r="C79" s="39"/>
      <c r="D79" s="40"/>
      <c r="E79" s="40"/>
      <c r="F79" s="40"/>
      <c r="G79" s="40"/>
      <c r="H79" s="40"/>
    </row>
    <row r="80" spans="1:8">
      <c r="A80" s="37"/>
      <c r="C80" s="39"/>
      <c r="D80" s="40"/>
      <c r="E80" s="40"/>
      <c r="F80" s="40"/>
      <c r="G80" s="40"/>
      <c r="H80" s="40"/>
    </row>
    <row r="81" spans="1:8">
      <c r="A81" s="37"/>
      <c r="C81" s="39"/>
      <c r="D81" s="40"/>
      <c r="E81" s="40"/>
      <c r="F81" s="40"/>
      <c r="G81" s="40"/>
      <c r="H81" s="40"/>
    </row>
    <row r="82" spans="1:8">
      <c r="A82" s="37"/>
      <c r="C82" s="39"/>
      <c r="D82" s="40"/>
      <c r="E82" s="40"/>
      <c r="F82" s="40"/>
      <c r="G82" s="40"/>
      <c r="H82" s="40"/>
    </row>
    <row r="83" spans="1:8">
      <c r="A83" s="37"/>
      <c r="C83" s="39"/>
      <c r="D83" s="40"/>
      <c r="E83" s="40"/>
      <c r="F83" s="40"/>
      <c r="G83" s="40"/>
      <c r="H83" s="40"/>
    </row>
    <row r="84" spans="1:8">
      <c r="A84" s="37"/>
      <c r="C84" s="39"/>
      <c r="D84" s="40"/>
      <c r="E84" s="40"/>
      <c r="F84" s="40"/>
      <c r="G84" s="40"/>
      <c r="H84" s="40"/>
    </row>
    <row r="85" spans="1:8">
      <c r="A85" s="37"/>
      <c r="C85" s="39"/>
      <c r="D85" s="40"/>
      <c r="E85" s="40"/>
      <c r="F85" s="40"/>
      <c r="G85" s="40"/>
      <c r="H85" s="40"/>
    </row>
    <row r="86" spans="1:8">
      <c r="A86" s="37"/>
      <c r="C86" s="39"/>
      <c r="D86" s="40"/>
      <c r="E86" s="40"/>
      <c r="F86" s="40"/>
      <c r="G86" s="40"/>
      <c r="H86" s="40"/>
    </row>
    <row r="87" spans="1:8">
      <c r="A87" s="37"/>
      <c r="C87" s="39"/>
      <c r="D87" s="40"/>
      <c r="E87" s="40"/>
      <c r="F87" s="40"/>
      <c r="G87" s="40"/>
      <c r="H87" s="40"/>
    </row>
    <row r="88" spans="1:8">
      <c r="A88" s="37"/>
      <c r="C88" s="39"/>
      <c r="D88" s="40"/>
      <c r="E88" s="40"/>
      <c r="F88" s="40"/>
      <c r="G88" s="40"/>
      <c r="H88" s="40"/>
    </row>
    <row r="89" spans="1:8">
      <c r="A89" s="37"/>
      <c r="C89" s="39"/>
      <c r="D89" s="40"/>
      <c r="E89" s="40"/>
      <c r="F89" s="40"/>
      <c r="G89" s="40"/>
      <c r="H89" s="40"/>
    </row>
    <row r="90" spans="1:8">
      <c r="A90" s="37"/>
      <c r="C90" s="39"/>
      <c r="D90" s="40"/>
      <c r="E90" s="40"/>
      <c r="F90" s="40"/>
      <c r="G90" s="40"/>
      <c r="H90" s="40"/>
    </row>
    <row r="91" spans="1:8">
      <c r="A91" s="37"/>
      <c r="C91" s="39"/>
      <c r="D91" s="40"/>
      <c r="E91" s="40"/>
      <c r="F91" s="40"/>
      <c r="G91" s="40"/>
      <c r="H91" s="40"/>
    </row>
    <row r="92" spans="1:8">
      <c r="A92" s="37"/>
      <c r="C92" s="39"/>
      <c r="D92" s="40"/>
      <c r="E92" s="40"/>
      <c r="F92" s="40"/>
      <c r="G92" s="40"/>
      <c r="H92" s="40"/>
    </row>
    <row r="93" spans="1:8">
      <c r="A93" s="37"/>
      <c r="C93" s="39"/>
      <c r="D93" s="40"/>
      <c r="E93" s="40"/>
      <c r="F93" s="40"/>
      <c r="G93" s="40"/>
      <c r="H93" s="40"/>
    </row>
    <row r="94" spans="1:8">
      <c r="A94" s="37"/>
      <c r="C94" s="39"/>
      <c r="D94" s="40"/>
      <c r="E94" s="40"/>
      <c r="F94" s="40"/>
      <c r="G94" s="40"/>
      <c r="H94" s="40"/>
    </row>
    <row r="95" spans="1:8">
      <c r="A95" s="37"/>
      <c r="C95" s="39"/>
      <c r="D95" s="40"/>
      <c r="E95" s="40"/>
      <c r="F95" s="40"/>
      <c r="G95" s="40"/>
      <c r="H95" s="40"/>
    </row>
    <row r="96" spans="1:8">
      <c r="A96" s="37"/>
      <c r="C96" s="39"/>
      <c r="D96" s="40"/>
      <c r="E96" s="40"/>
      <c r="F96" s="40"/>
      <c r="G96" s="40"/>
      <c r="H96" s="40"/>
    </row>
    <row r="97" spans="1:8">
      <c r="A97" s="37"/>
      <c r="C97" s="39"/>
      <c r="D97" s="40"/>
      <c r="E97" s="40"/>
      <c r="F97" s="40"/>
      <c r="G97" s="40"/>
      <c r="H97" s="40"/>
    </row>
    <row r="98" spans="1:8">
      <c r="A98" s="37"/>
      <c r="C98" s="39"/>
      <c r="D98" s="40"/>
      <c r="E98" s="40"/>
      <c r="F98" s="40"/>
      <c r="G98" s="40"/>
      <c r="H98" s="40"/>
    </row>
    <row r="99" spans="1:8">
      <c r="A99" s="37"/>
      <c r="C99" s="39"/>
      <c r="D99" s="40"/>
      <c r="E99" s="40"/>
      <c r="F99" s="40"/>
      <c r="G99" s="40"/>
      <c r="H99" s="40"/>
    </row>
    <row r="100" spans="1:8">
      <c r="A100" s="37"/>
      <c r="C100" s="39"/>
      <c r="D100" s="40"/>
      <c r="E100" s="40"/>
      <c r="F100" s="40"/>
      <c r="G100" s="40"/>
      <c r="H100" s="40"/>
    </row>
    <row r="101" spans="1:8">
      <c r="A101" s="37"/>
      <c r="C101" s="39"/>
      <c r="D101" s="40"/>
      <c r="E101" s="40"/>
      <c r="F101" s="40"/>
      <c r="G101" s="40"/>
      <c r="H101" s="40"/>
    </row>
    <row r="102" spans="1:8">
      <c r="A102" s="37"/>
      <c r="C102" s="39"/>
      <c r="D102" s="40"/>
      <c r="E102" s="40"/>
      <c r="F102" s="40"/>
      <c r="G102" s="40"/>
      <c r="H102" s="40"/>
    </row>
    <row r="103" spans="1:8">
      <c r="A103" s="37"/>
      <c r="C103" s="39"/>
      <c r="D103" s="40"/>
      <c r="E103" s="40"/>
      <c r="F103" s="40"/>
      <c r="G103" s="40"/>
      <c r="H103" s="40"/>
    </row>
    <row r="104" spans="1:8">
      <c r="A104" s="37"/>
      <c r="C104" s="39"/>
      <c r="D104" s="40"/>
      <c r="E104" s="40"/>
      <c r="F104" s="40"/>
      <c r="G104" s="40"/>
      <c r="H104" s="40"/>
    </row>
    <row r="105" spans="1:8">
      <c r="A105" s="37"/>
      <c r="C105" s="39"/>
      <c r="D105" s="40"/>
      <c r="E105" s="40"/>
      <c r="F105" s="40"/>
      <c r="G105" s="40"/>
      <c r="H105" s="40"/>
    </row>
    <row r="106" spans="1:8">
      <c r="A106" s="37"/>
    </row>
    <row r="107" spans="1:8">
      <c r="A107" s="41"/>
    </row>
    <row r="108" spans="1:8">
      <c r="A108" s="41"/>
    </row>
    <row r="109" spans="1:8">
      <c r="A109" s="41"/>
    </row>
    <row r="110" spans="1:8">
      <c r="A110" s="41"/>
    </row>
    <row r="111" spans="1:8">
      <c r="A111" s="41"/>
    </row>
    <row r="112" spans="1:8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spans="1:1">
      <c r="A257" s="41"/>
    </row>
    <row r="258" spans="1:1">
      <c r="A258" s="41"/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</sheetData>
  <mergeCells count="13">
    <mergeCell ref="C50:D50"/>
    <mergeCell ref="G50:I50"/>
    <mergeCell ref="C51:D51"/>
    <mergeCell ref="G51:I51"/>
    <mergeCell ref="A2:H2"/>
    <mergeCell ref="A4:A5"/>
    <mergeCell ref="B4:B5"/>
    <mergeCell ref="C4:C5"/>
    <mergeCell ref="D4:D5"/>
    <mergeCell ref="E4:E5"/>
    <mergeCell ref="F4:F5"/>
    <mergeCell ref="G4:J4"/>
    <mergeCell ref="I3:J3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AF53"/>
  <sheetViews>
    <sheetView view="pageBreakPreview" zoomScale="50" zoomScaleNormal="60" zoomScaleSheetLayoutView="50" workbookViewId="0">
      <selection activeCell="A19" sqref="A19"/>
    </sheetView>
  </sheetViews>
  <sheetFormatPr defaultRowHeight="20.25"/>
  <cols>
    <col min="1" max="1" width="8.28515625" style="113" customWidth="1"/>
    <col min="2" max="2" width="26.140625" style="113" customWidth="1"/>
    <col min="3" max="5" width="11.28515625" style="113" customWidth="1"/>
    <col min="6" max="6" width="4.42578125" style="113" customWidth="1"/>
    <col min="7" max="7" width="13" style="113" customWidth="1"/>
    <col min="8" max="10" width="11" style="113" customWidth="1"/>
    <col min="11" max="11" width="9" style="113" customWidth="1"/>
    <col min="12" max="12" width="16.7109375" style="113" customWidth="1"/>
    <col min="13" max="13" width="13.28515625" style="113" customWidth="1"/>
    <col min="14" max="14" width="15.5703125" style="113" customWidth="1"/>
    <col min="15" max="15" width="11" style="113" customWidth="1"/>
    <col min="16" max="16" width="15" style="113" customWidth="1"/>
    <col min="17" max="17" width="13" style="113" customWidth="1"/>
    <col min="18" max="18" width="14.140625" style="113" customWidth="1"/>
    <col min="19" max="19" width="11" style="113" customWidth="1"/>
    <col min="20" max="20" width="8.42578125" style="113" customWidth="1"/>
    <col min="21" max="21" width="11" style="113" customWidth="1"/>
    <col min="22" max="22" width="14.42578125" style="113" customWidth="1"/>
    <col min="23" max="23" width="15.5703125" style="113" customWidth="1"/>
    <col min="24" max="24" width="13" style="113" customWidth="1"/>
    <col min="25" max="25" width="11" style="113" customWidth="1"/>
    <col min="26" max="26" width="13" style="113" customWidth="1"/>
    <col min="27" max="27" width="14.7109375" style="113" customWidth="1"/>
    <col min="28" max="28" width="14.140625" style="113" customWidth="1"/>
    <col min="29" max="29" width="14.7109375" style="113" customWidth="1"/>
    <col min="30" max="30" width="11" style="113" customWidth="1"/>
    <col min="31" max="31" width="15.28515625" style="113" customWidth="1"/>
    <col min="32" max="32" width="12" style="113" customWidth="1"/>
    <col min="33" max="16384" width="9.140625" style="113"/>
  </cols>
  <sheetData>
    <row r="1" spans="1:32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Q1" s="130"/>
      <c r="R1" s="130"/>
      <c r="S1" s="130"/>
      <c r="T1" s="130"/>
      <c r="U1" s="130"/>
      <c r="AE1" s="130"/>
    </row>
    <row r="2" spans="1:32" s="20" customFormat="1" ht="38.25" customHeight="1">
      <c r="F2" s="264" t="s">
        <v>219</v>
      </c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</row>
    <row r="3" spans="1:32">
      <c r="A3" s="131"/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1"/>
      <c r="AE3" s="130" t="s">
        <v>117</v>
      </c>
    </row>
    <row r="4" spans="1:32" ht="39" customHeight="1">
      <c r="A4" s="252" t="s">
        <v>19</v>
      </c>
      <c r="B4" s="252" t="s">
        <v>59</v>
      </c>
      <c r="C4" s="252"/>
      <c r="D4" s="252"/>
      <c r="E4" s="252"/>
      <c r="F4" s="252"/>
      <c r="G4" s="252" t="s">
        <v>20</v>
      </c>
      <c r="H4" s="252"/>
      <c r="I4" s="252"/>
      <c r="J4" s="252"/>
      <c r="K4" s="252"/>
      <c r="L4" s="252" t="s">
        <v>522</v>
      </c>
      <c r="M4" s="252"/>
      <c r="N4" s="252"/>
      <c r="O4" s="252"/>
      <c r="P4" s="252"/>
      <c r="Q4" s="252" t="s">
        <v>66</v>
      </c>
      <c r="R4" s="252"/>
      <c r="S4" s="252"/>
      <c r="T4" s="252"/>
      <c r="U4" s="252"/>
      <c r="V4" s="252" t="s">
        <v>38</v>
      </c>
      <c r="W4" s="252"/>
      <c r="X4" s="252"/>
      <c r="Y4" s="252"/>
      <c r="Z4" s="252"/>
      <c r="AA4" s="252" t="s">
        <v>21</v>
      </c>
      <c r="AB4" s="252"/>
      <c r="AC4" s="252"/>
      <c r="AD4" s="252"/>
      <c r="AE4" s="252"/>
    </row>
    <row r="5" spans="1:32" ht="36" customHeight="1">
      <c r="A5" s="252"/>
      <c r="B5" s="252"/>
      <c r="C5" s="252"/>
      <c r="D5" s="252"/>
      <c r="E5" s="252"/>
      <c r="F5" s="252"/>
      <c r="G5" s="252" t="s">
        <v>29</v>
      </c>
      <c r="H5" s="252" t="s">
        <v>33</v>
      </c>
      <c r="I5" s="252"/>
      <c r="J5" s="252"/>
      <c r="K5" s="252"/>
      <c r="L5" s="252" t="s">
        <v>29</v>
      </c>
      <c r="M5" s="252" t="s">
        <v>33</v>
      </c>
      <c r="N5" s="252"/>
      <c r="O5" s="252"/>
      <c r="P5" s="252"/>
      <c r="Q5" s="252" t="s">
        <v>29</v>
      </c>
      <c r="R5" s="252" t="s">
        <v>33</v>
      </c>
      <c r="S5" s="252"/>
      <c r="T5" s="252"/>
      <c r="U5" s="252"/>
      <c r="V5" s="252" t="s">
        <v>29</v>
      </c>
      <c r="W5" s="252" t="s">
        <v>33</v>
      </c>
      <c r="X5" s="252"/>
      <c r="Y5" s="252"/>
      <c r="Z5" s="252"/>
      <c r="AA5" s="252" t="s">
        <v>29</v>
      </c>
      <c r="AB5" s="252" t="s">
        <v>33</v>
      </c>
      <c r="AC5" s="252"/>
      <c r="AD5" s="252"/>
      <c r="AE5" s="252"/>
    </row>
    <row r="6" spans="1:32" ht="44.25" customHeight="1">
      <c r="A6" s="252"/>
      <c r="B6" s="252"/>
      <c r="C6" s="252"/>
      <c r="D6" s="252"/>
      <c r="E6" s="252"/>
      <c r="F6" s="252"/>
      <c r="G6" s="252"/>
      <c r="H6" s="10" t="s">
        <v>25</v>
      </c>
      <c r="I6" s="10" t="s">
        <v>26</v>
      </c>
      <c r="J6" s="10" t="s">
        <v>24</v>
      </c>
      <c r="K6" s="10" t="s">
        <v>23</v>
      </c>
      <c r="L6" s="252"/>
      <c r="M6" s="10" t="s">
        <v>25</v>
      </c>
      <c r="N6" s="10" t="s">
        <v>26</v>
      </c>
      <c r="O6" s="10" t="s">
        <v>24</v>
      </c>
      <c r="P6" s="10" t="s">
        <v>23</v>
      </c>
      <c r="Q6" s="252"/>
      <c r="R6" s="10" t="s">
        <v>25</v>
      </c>
      <c r="S6" s="10" t="s">
        <v>26</v>
      </c>
      <c r="T6" s="10" t="s">
        <v>24</v>
      </c>
      <c r="U6" s="10" t="s">
        <v>23</v>
      </c>
      <c r="V6" s="252"/>
      <c r="W6" s="10" t="s">
        <v>25</v>
      </c>
      <c r="X6" s="10" t="s">
        <v>26</v>
      </c>
      <c r="Y6" s="10" t="s">
        <v>24</v>
      </c>
      <c r="Z6" s="10" t="s">
        <v>23</v>
      </c>
      <c r="AA6" s="252"/>
      <c r="AB6" s="10" t="s">
        <v>25</v>
      </c>
      <c r="AC6" s="10" t="s">
        <v>26</v>
      </c>
      <c r="AD6" s="10" t="s">
        <v>24</v>
      </c>
      <c r="AE6" s="10" t="s">
        <v>23</v>
      </c>
    </row>
    <row r="7" spans="1:32" ht="30" customHeight="1">
      <c r="A7" s="10">
        <v>1</v>
      </c>
      <c r="B7" s="252">
        <v>2</v>
      </c>
      <c r="C7" s="252"/>
      <c r="D7" s="252"/>
      <c r="E7" s="252"/>
      <c r="F7" s="252"/>
      <c r="G7" s="10">
        <v>3</v>
      </c>
      <c r="H7" s="10">
        <v>4</v>
      </c>
      <c r="I7" s="10">
        <v>5</v>
      </c>
      <c r="J7" s="10">
        <v>6</v>
      </c>
      <c r="K7" s="10">
        <v>7</v>
      </c>
      <c r="L7" s="10">
        <v>8</v>
      </c>
      <c r="M7" s="10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9">
        <v>18</v>
      </c>
      <c r="W7" s="19">
        <v>19</v>
      </c>
      <c r="X7" s="19">
        <v>20</v>
      </c>
      <c r="Y7" s="19">
        <v>21</v>
      </c>
      <c r="Z7" s="19">
        <v>22</v>
      </c>
      <c r="AA7" s="19">
        <v>23</v>
      </c>
      <c r="AB7" s="19">
        <v>24</v>
      </c>
      <c r="AC7" s="19">
        <v>25</v>
      </c>
      <c r="AD7" s="19">
        <v>26</v>
      </c>
      <c r="AE7" s="19">
        <v>27</v>
      </c>
    </row>
    <row r="8" spans="1:32" ht="39.950000000000003" hidden="1" customHeight="1">
      <c r="A8" s="10"/>
      <c r="B8" s="324" t="s">
        <v>284</v>
      </c>
      <c r="C8" s="324"/>
      <c r="D8" s="324"/>
      <c r="E8" s="324"/>
      <c r="F8" s="324"/>
      <c r="G8" s="9"/>
      <c r="H8" s="9"/>
      <c r="I8" s="9"/>
      <c r="J8" s="9"/>
      <c r="K8" s="9"/>
      <c r="L8" s="9">
        <f t="shared" ref="L8:L17" si="0">SUM(M8,N8,O8,P8)</f>
        <v>0</v>
      </c>
      <c r="M8" s="9"/>
      <c r="N8" s="9"/>
      <c r="O8" s="9"/>
      <c r="P8" s="9"/>
      <c r="Q8" s="9">
        <f t="shared" ref="Q8:Q17" si="1">SUM(R8,S8,T8,U8)</f>
        <v>0</v>
      </c>
      <c r="R8" s="133"/>
      <c r="S8" s="9"/>
      <c r="T8" s="9"/>
      <c r="U8" s="9"/>
      <c r="V8" s="9">
        <f>W8+X8+Y8+Z8</f>
        <v>0</v>
      </c>
      <c r="W8" s="18"/>
      <c r="X8" s="18"/>
      <c r="Y8" s="18"/>
      <c r="Z8" s="11"/>
      <c r="AA8" s="9">
        <f t="shared" ref="AA8:AA17" si="2">SUM(AB8,AC8,AD8,AE8)</f>
        <v>0</v>
      </c>
      <c r="AB8" s="11">
        <f>M8+R8+W8</f>
        <v>0</v>
      </c>
      <c r="AC8" s="11">
        <f>N8+S8+X8</f>
        <v>0</v>
      </c>
      <c r="AD8" s="9"/>
      <c r="AE8" s="11"/>
      <c r="AF8" s="134">
        <f t="shared" ref="AF8:AF17" si="3">AB8+AC8</f>
        <v>0</v>
      </c>
    </row>
    <row r="9" spans="1:32" ht="39.950000000000003" hidden="1" customHeight="1">
      <c r="A9" s="10"/>
      <c r="B9" s="324" t="s">
        <v>285</v>
      </c>
      <c r="C9" s="324"/>
      <c r="D9" s="324"/>
      <c r="E9" s="324"/>
      <c r="F9" s="324"/>
      <c r="G9" s="9"/>
      <c r="H9" s="9"/>
      <c r="I9" s="9"/>
      <c r="J9" s="9"/>
      <c r="K9" s="9"/>
      <c r="L9" s="9">
        <f t="shared" si="0"/>
        <v>0</v>
      </c>
      <c r="M9" s="9"/>
      <c r="N9" s="9"/>
      <c r="O9" s="9"/>
      <c r="P9" s="9"/>
      <c r="Q9" s="9">
        <f t="shared" si="1"/>
        <v>0</v>
      </c>
      <c r="R9" s="133"/>
      <c r="S9" s="9"/>
      <c r="T9" s="9"/>
      <c r="U9" s="9"/>
      <c r="V9" s="9">
        <f>W9+X9+Y9+Z9</f>
        <v>0</v>
      </c>
      <c r="W9" s="18"/>
      <c r="X9" s="18"/>
      <c r="Y9" s="18"/>
      <c r="Z9" s="11"/>
      <c r="AA9" s="9">
        <f t="shared" si="2"/>
        <v>0</v>
      </c>
      <c r="AB9" s="11">
        <f t="shared" ref="AB9:AC17" si="4">M9+R9+W9</f>
        <v>0</v>
      </c>
      <c r="AC9" s="11">
        <f t="shared" si="4"/>
        <v>0</v>
      </c>
      <c r="AD9" s="9"/>
      <c r="AE9" s="11"/>
      <c r="AF9" s="134">
        <f t="shared" si="3"/>
        <v>0</v>
      </c>
    </row>
    <row r="10" spans="1:32" ht="39.950000000000003" hidden="1" customHeight="1">
      <c r="A10" s="10"/>
      <c r="B10" s="324" t="s">
        <v>286</v>
      </c>
      <c r="C10" s="324"/>
      <c r="D10" s="324"/>
      <c r="E10" s="324"/>
      <c r="F10" s="324"/>
      <c r="G10" s="9"/>
      <c r="H10" s="9"/>
      <c r="I10" s="9"/>
      <c r="J10" s="9"/>
      <c r="K10" s="9"/>
      <c r="L10" s="9">
        <f t="shared" si="0"/>
        <v>0</v>
      </c>
      <c r="M10" s="9"/>
      <c r="N10" s="9"/>
      <c r="O10" s="9"/>
      <c r="P10" s="9"/>
      <c r="Q10" s="9">
        <f t="shared" si="1"/>
        <v>0</v>
      </c>
      <c r="R10" s="133"/>
      <c r="S10" s="9"/>
      <c r="T10" s="9"/>
      <c r="U10" s="9"/>
      <c r="V10" s="9">
        <f t="shared" ref="V10:V17" si="5">W10+X10+Y10+Z10</f>
        <v>0</v>
      </c>
      <c r="W10" s="18"/>
      <c r="X10" s="18"/>
      <c r="Y10" s="18"/>
      <c r="Z10" s="11"/>
      <c r="AA10" s="9">
        <f t="shared" si="2"/>
        <v>0</v>
      </c>
      <c r="AB10" s="11">
        <f t="shared" si="4"/>
        <v>0</v>
      </c>
      <c r="AC10" s="11">
        <f t="shared" si="4"/>
        <v>0</v>
      </c>
      <c r="AD10" s="9"/>
      <c r="AE10" s="11"/>
      <c r="AF10" s="134">
        <f t="shared" si="3"/>
        <v>0</v>
      </c>
    </row>
    <row r="11" spans="1:32" ht="39.950000000000003" hidden="1" customHeight="1">
      <c r="A11" s="10"/>
      <c r="B11" s="324" t="s">
        <v>287</v>
      </c>
      <c r="C11" s="324"/>
      <c r="D11" s="324"/>
      <c r="E11" s="324"/>
      <c r="F11" s="324"/>
      <c r="G11" s="9"/>
      <c r="H11" s="9"/>
      <c r="I11" s="9"/>
      <c r="J11" s="9"/>
      <c r="K11" s="9"/>
      <c r="L11" s="9">
        <f t="shared" si="0"/>
        <v>0</v>
      </c>
      <c r="M11" s="9"/>
      <c r="N11" s="135"/>
      <c r="O11" s="9"/>
      <c r="P11" s="9"/>
      <c r="Q11" s="9">
        <f t="shared" si="1"/>
        <v>0</v>
      </c>
      <c r="R11" s="9"/>
      <c r="S11" s="9"/>
      <c r="T11" s="9"/>
      <c r="U11" s="9"/>
      <c r="V11" s="9">
        <f t="shared" si="5"/>
        <v>0</v>
      </c>
      <c r="W11" s="18"/>
      <c r="X11" s="18"/>
      <c r="Y11" s="18"/>
      <c r="Z11" s="11"/>
      <c r="AA11" s="9">
        <f t="shared" si="2"/>
        <v>0</v>
      </c>
      <c r="AB11" s="11">
        <f t="shared" si="4"/>
        <v>0</v>
      </c>
      <c r="AC11" s="11">
        <f t="shared" si="4"/>
        <v>0</v>
      </c>
      <c r="AD11" s="9"/>
      <c r="AE11" s="11"/>
      <c r="AF11" s="134">
        <f t="shared" si="3"/>
        <v>0</v>
      </c>
    </row>
    <row r="12" spans="1:32" ht="39.950000000000003" hidden="1" customHeight="1">
      <c r="A12" s="10"/>
      <c r="B12" s="324" t="s">
        <v>288</v>
      </c>
      <c r="C12" s="324"/>
      <c r="D12" s="324"/>
      <c r="E12" s="324"/>
      <c r="F12" s="324"/>
      <c r="G12" s="9"/>
      <c r="H12" s="9"/>
      <c r="I12" s="9"/>
      <c r="J12" s="9"/>
      <c r="K12" s="9"/>
      <c r="L12" s="9">
        <f t="shared" si="0"/>
        <v>0</v>
      </c>
      <c r="M12" s="9"/>
      <c r="N12" s="135"/>
      <c r="O12" s="9"/>
      <c r="P12" s="9"/>
      <c r="Q12" s="9">
        <f t="shared" si="1"/>
        <v>0</v>
      </c>
      <c r="R12" s="9"/>
      <c r="S12" s="9"/>
      <c r="T12" s="9"/>
      <c r="U12" s="9"/>
      <c r="V12" s="9">
        <f t="shared" si="5"/>
        <v>0</v>
      </c>
      <c r="W12" s="18"/>
      <c r="X12" s="18"/>
      <c r="Y12" s="18"/>
      <c r="Z12" s="11"/>
      <c r="AA12" s="9">
        <f t="shared" si="2"/>
        <v>0</v>
      </c>
      <c r="AB12" s="11">
        <f t="shared" si="4"/>
        <v>0</v>
      </c>
      <c r="AC12" s="11">
        <f t="shared" si="4"/>
        <v>0</v>
      </c>
      <c r="AD12" s="9"/>
      <c r="AE12" s="11"/>
      <c r="AF12" s="134">
        <f t="shared" si="3"/>
        <v>0</v>
      </c>
    </row>
    <row r="13" spans="1:32" ht="39.950000000000003" hidden="1" customHeight="1">
      <c r="A13" s="10"/>
      <c r="B13" s="324" t="s">
        <v>289</v>
      </c>
      <c r="C13" s="324"/>
      <c r="D13" s="324"/>
      <c r="E13" s="324"/>
      <c r="F13" s="324"/>
      <c r="G13" s="9"/>
      <c r="H13" s="9"/>
      <c r="I13" s="9"/>
      <c r="J13" s="9"/>
      <c r="K13" s="9"/>
      <c r="L13" s="9">
        <f t="shared" si="0"/>
        <v>0</v>
      </c>
      <c r="M13" s="9"/>
      <c r="N13" s="135"/>
      <c r="O13" s="9"/>
      <c r="P13" s="9"/>
      <c r="Q13" s="9">
        <f t="shared" si="1"/>
        <v>0</v>
      </c>
      <c r="R13" s="9"/>
      <c r="S13" s="9"/>
      <c r="T13" s="9"/>
      <c r="U13" s="9"/>
      <c r="V13" s="9">
        <f t="shared" si="5"/>
        <v>0</v>
      </c>
      <c r="W13" s="18"/>
      <c r="X13" s="18"/>
      <c r="Y13" s="18"/>
      <c r="Z13" s="11"/>
      <c r="AA13" s="9">
        <f t="shared" si="2"/>
        <v>0</v>
      </c>
      <c r="AB13" s="11">
        <f t="shared" si="4"/>
        <v>0</v>
      </c>
      <c r="AC13" s="11">
        <f t="shared" si="4"/>
        <v>0</v>
      </c>
      <c r="AD13" s="9"/>
      <c r="AE13" s="11"/>
      <c r="AF13" s="134">
        <f t="shared" si="3"/>
        <v>0</v>
      </c>
    </row>
    <row r="14" spans="1:32" ht="39.950000000000003" hidden="1" customHeight="1">
      <c r="A14" s="10"/>
      <c r="B14" s="324" t="s">
        <v>290</v>
      </c>
      <c r="C14" s="324"/>
      <c r="D14" s="324"/>
      <c r="E14" s="324"/>
      <c r="F14" s="324"/>
      <c r="G14" s="9"/>
      <c r="H14" s="9"/>
      <c r="I14" s="9"/>
      <c r="J14" s="9"/>
      <c r="K14" s="9"/>
      <c r="L14" s="9">
        <f t="shared" si="0"/>
        <v>0</v>
      </c>
      <c r="M14" s="9"/>
      <c r="N14" s="135"/>
      <c r="O14" s="9"/>
      <c r="P14" s="9"/>
      <c r="Q14" s="9">
        <f t="shared" si="1"/>
        <v>0</v>
      </c>
      <c r="R14" s="9"/>
      <c r="S14" s="9"/>
      <c r="T14" s="9"/>
      <c r="U14" s="9"/>
      <c r="V14" s="9">
        <f t="shared" si="5"/>
        <v>0</v>
      </c>
      <c r="W14" s="18"/>
      <c r="X14" s="18"/>
      <c r="Y14" s="18"/>
      <c r="Z14" s="11"/>
      <c r="AA14" s="9">
        <f t="shared" si="2"/>
        <v>0</v>
      </c>
      <c r="AB14" s="11">
        <f t="shared" si="4"/>
        <v>0</v>
      </c>
      <c r="AC14" s="11">
        <f t="shared" si="4"/>
        <v>0</v>
      </c>
      <c r="AD14" s="9"/>
      <c r="AE14" s="11"/>
      <c r="AF14" s="134">
        <f t="shared" si="3"/>
        <v>0</v>
      </c>
    </row>
    <row r="15" spans="1:32" ht="39.950000000000003" hidden="1" customHeight="1">
      <c r="A15" s="10"/>
      <c r="B15" s="324" t="s">
        <v>291</v>
      </c>
      <c r="C15" s="324"/>
      <c r="D15" s="324"/>
      <c r="E15" s="324"/>
      <c r="F15" s="324"/>
      <c r="G15" s="9"/>
      <c r="H15" s="9"/>
      <c r="I15" s="9"/>
      <c r="J15" s="9"/>
      <c r="K15" s="9"/>
      <c r="L15" s="9">
        <f t="shared" si="0"/>
        <v>0</v>
      </c>
      <c r="M15" s="9"/>
      <c r="N15" s="135"/>
      <c r="O15" s="9"/>
      <c r="P15" s="9"/>
      <c r="Q15" s="9">
        <f t="shared" si="1"/>
        <v>0</v>
      </c>
      <c r="R15" s="9"/>
      <c r="S15" s="9"/>
      <c r="T15" s="9"/>
      <c r="U15" s="9"/>
      <c r="V15" s="9">
        <f t="shared" si="5"/>
        <v>0</v>
      </c>
      <c r="W15" s="18"/>
      <c r="X15" s="18"/>
      <c r="Y15" s="18"/>
      <c r="Z15" s="11"/>
      <c r="AA15" s="9">
        <f t="shared" si="2"/>
        <v>0</v>
      </c>
      <c r="AB15" s="11">
        <f t="shared" si="4"/>
        <v>0</v>
      </c>
      <c r="AC15" s="11">
        <f t="shared" si="4"/>
        <v>0</v>
      </c>
      <c r="AD15" s="9"/>
      <c r="AE15" s="11"/>
      <c r="AF15" s="134">
        <f t="shared" si="3"/>
        <v>0</v>
      </c>
    </row>
    <row r="16" spans="1:32" ht="39.950000000000003" hidden="1" customHeight="1">
      <c r="A16" s="10"/>
      <c r="B16" s="324" t="s">
        <v>292</v>
      </c>
      <c r="C16" s="324"/>
      <c r="D16" s="324"/>
      <c r="E16" s="324"/>
      <c r="F16" s="324"/>
      <c r="G16" s="9"/>
      <c r="H16" s="9"/>
      <c r="I16" s="9"/>
      <c r="J16" s="9"/>
      <c r="K16" s="9"/>
      <c r="L16" s="9">
        <f t="shared" si="0"/>
        <v>0</v>
      </c>
      <c r="M16" s="9"/>
      <c r="N16" s="135"/>
      <c r="O16" s="9"/>
      <c r="P16" s="9"/>
      <c r="Q16" s="9">
        <f t="shared" si="1"/>
        <v>0</v>
      </c>
      <c r="R16" s="9"/>
      <c r="S16" s="9"/>
      <c r="T16" s="9"/>
      <c r="U16" s="9"/>
      <c r="V16" s="9">
        <f t="shared" si="5"/>
        <v>0</v>
      </c>
      <c r="W16" s="18"/>
      <c r="X16" s="18"/>
      <c r="Y16" s="18"/>
      <c r="Z16" s="11"/>
      <c r="AA16" s="9">
        <f t="shared" si="2"/>
        <v>0</v>
      </c>
      <c r="AB16" s="11">
        <f t="shared" si="4"/>
        <v>0</v>
      </c>
      <c r="AC16" s="11">
        <f t="shared" si="4"/>
        <v>0</v>
      </c>
      <c r="AD16" s="9"/>
      <c r="AE16" s="11"/>
      <c r="AF16" s="134">
        <f t="shared" si="3"/>
        <v>0</v>
      </c>
    </row>
    <row r="17" spans="1:32" ht="39.950000000000003" hidden="1" customHeight="1">
      <c r="A17" s="10"/>
      <c r="B17" s="324" t="s">
        <v>293</v>
      </c>
      <c r="C17" s="324"/>
      <c r="D17" s="324"/>
      <c r="E17" s="324"/>
      <c r="F17" s="324"/>
      <c r="G17" s="9"/>
      <c r="H17" s="9"/>
      <c r="I17" s="9"/>
      <c r="J17" s="9"/>
      <c r="K17" s="9"/>
      <c r="L17" s="9">
        <f t="shared" si="0"/>
        <v>0</v>
      </c>
      <c r="M17" s="9"/>
      <c r="N17" s="135"/>
      <c r="O17" s="9"/>
      <c r="P17" s="9"/>
      <c r="Q17" s="9">
        <f t="shared" si="1"/>
        <v>0</v>
      </c>
      <c r="R17" s="9"/>
      <c r="S17" s="9"/>
      <c r="T17" s="9"/>
      <c r="U17" s="9"/>
      <c r="V17" s="9">
        <f t="shared" si="5"/>
        <v>0</v>
      </c>
      <c r="W17" s="18"/>
      <c r="X17" s="18"/>
      <c r="Y17" s="18"/>
      <c r="Z17" s="11"/>
      <c r="AA17" s="9">
        <f t="shared" si="2"/>
        <v>0</v>
      </c>
      <c r="AB17" s="11">
        <f t="shared" si="4"/>
        <v>0</v>
      </c>
      <c r="AC17" s="11">
        <f t="shared" si="4"/>
        <v>0</v>
      </c>
      <c r="AD17" s="9"/>
      <c r="AE17" s="11"/>
      <c r="AF17" s="134">
        <f t="shared" si="3"/>
        <v>0</v>
      </c>
    </row>
    <row r="18" spans="1:32" ht="67.5" customHeight="1">
      <c r="A18" s="10" t="s">
        <v>179</v>
      </c>
      <c r="B18" s="321" t="s">
        <v>189</v>
      </c>
      <c r="C18" s="322"/>
      <c r="D18" s="322"/>
      <c r="E18" s="322"/>
      <c r="F18" s="323"/>
      <c r="G18" s="9">
        <f>SUM(G19)</f>
        <v>0</v>
      </c>
      <c r="H18" s="9">
        <f t="shared" ref="H18:AE18" si="6">SUM(H19)</f>
        <v>0</v>
      </c>
      <c r="I18" s="9">
        <f t="shared" si="6"/>
        <v>0</v>
      </c>
      <c r="J18" s="9">
        <f t="shared" si="6"/>
        <v>0</v>
      </c>
      <c r="K18" s="9">
        <f t="shared" si="6"/>
        <v>0</v>
      </c>
      <c r="L18" s="9">
        <f t="shared" si="6"/>
        <v>1750</v>
      </c>
      <c r="M18" s="9">
        <f t="shared" si="6"/>
        <v>0</v>
      </c>
      <c r="N18" s="9">
        <f t="shared" si="6"/>
        <v>0</v>
      </c>
      <c r="O18" s="9">
        <f t="shared" si="6"/>
        <v>0</v>
      </c>
      <c r="P18" s="9">
        <f t="shared" si="6"/>
        <v>1750</v>
      </c>
      <c r="Q18" s="9">
        <f t="shared" si="6"/>
        <v>0</v>
      </c>
      <c r="R18" s="9">
        <f t="shared" si="6"/>
        <v>0</v>
      </c>
      <c r="S18" s="9">
        <f t="shared" si="6"/>
        <v>0</v>
      </c>
      <c r="T18" s="9">
        <f t="shared" si="6"/>
        <v>0</v>
      </c>
      <c r="U18" s="9">
        <f t="shared" si="6"/>
        <v>0</v>
      </c>
      <c r="V18" s="9">
        <f t="shared" si="6"/>
        <v>0</v>
      </c>
      <c r="W18" s="9">
        <f t="shared" si="6"/>
        <v>0</v>
      </c>
      <c r="X18" s="9">
        <f t="shared" si="6"/>
        <v>0</v>
      </c>
      <c r="Y18" s="9">
        <f t="shared" si="6"/>
        <v>0</v>
      </c>
      <c r="Z18" s="9">
        <f t="shared" si="6"/>
        <v>0</v>
      </c>
      <c r="AA18" s="9">
        <f t="shared" si="6"/>
        <v>1750</v>
      </c>
      <c r="AB18" s="9">
        <f t="shared" si="6"/>
        <v>0</v>
      </c>
      <c r="AC18" s="9">
        <f t="shared" si="6"/>
        <v>0</v>
      </c>
      <c r="AD18" s="9">
        <f t="shared" si="6"/>
        <v>0</v>
      </c>
      <c r="AE18" s="9">
        <f t="shared" si="6"/>
        <v>1750</v>
      </c>
      <c r="AF18" s="134"/>
    </row>
    <row r="19" spans="1:32" ht="30" customHeight="1">
      <c r="A19" s="10"/>
      <c r="B19" s="316" t="s">
        <v>470</v>
      </c>
      <c r="C19" s="253"/>
      <c r="D19" s="253"/>
      <c r="E19" s="253"/>
      <c r="F19" s="317"/>
      <c r="G19" s="11">
        <f t="shared" ref="G19" si="7">SUM(H19,I19,J19,K19)</f>
        <v>0</v>
      </c>
      <c r="H19" s="11"/>
      <c r="I19" s="11"/>
      <c r="J19" s="11"/>
      <c r="K19" s="11"/>
      <c r="L19" s="11">
        <f t="shared" ref="L19" si="8">SUM(M19,N19,O19,P19)</f>
        <v>1750</v>
      </c>
      <c r="M19" s="11"/>
      <c r="N19" s="11"/>
      <c r="O19" s="11"/>
      <c r="P19" s="11">
        <v>1750</v>
      </c>
      <c r="Q19" s="11">
        <f t="shared" ref="Q19" si="9">SUM(R19,S19,T19,U19)</f>
        <v>0</v>
      </c>
      <c r="R19" s="11"/>
      <c r="S19" s="11"/>
      <c r="T19" s="11"/>
      <c r="U19" s="11"/>
      <c r="V19" s="11">
        <f t="shared" ref="V19" si="10">SUM(W19,X19,Y19,Z19)</f>
        <v>0</v>
      </c>
      <c r="W19" s="17"/>
      <c r="X19" s="17"/>
      <c r="Y19" s="17"/>
      <c r="Z19" s="17"/>
      <c r="AA19" s="11">
        <f t="shared" ref="AA19" si="11">SUM(AB19,AC19,AD19,AE19)</f>
        <v>1750</v>
      </c>
      <c r="AB19" s="11">
        <f t="shared" ref="AB19:AE19" si="12">SUM(H19,M19,R19,W19)</f>
        <v>0</v>
      </c>
      <c r="AC19" s="11">
        <f t="shared" si="12"/>
        <v>0</v>
      </c>
      <c r="AD19" s="11">
        <f t="shared" si="12"/>
        <v>0</v>
      </c>
      <c r="AE19" s="11">
        <f t="shared" si="12"/>
        <v>1750</v>
      </c>
      <c r="AF19" s="134"/>
    </row>
    <row r="20" spans="1:32" ht="40.5" customHeight="1">
      <c r="A20" s="318" t="s">
        <v>21</v>
      </c>
      <c r="B20" s="319"/>
      <c r="C20" s="319"/>
      <c r="D20" s="319"/>
      <c r="E20" s="319"/>
      <c r="F20" s="320"/>
      <c r="G20" s="9">
        <f>SUM(G18)</f>
        <v>0</v>
      </c>
      <c r="H20" s="9">
        <f t="shared" ref="H20:AE20" si="13">SUM(H18)</f>
        <v>0</v>
      </c>
      <c r="I20" s="9">
        <f t="shared" si="13"/>
        <v>0</v>
      </c>
      <c r="J20" s="9">
        <f t="shared" si="13"/>
        <v>0</v>
      </c>
      <c r="K20" s="9">
        <f t="shared" si="13"/>
        <v>0</v>
      </c>
      <c r="L20" s="9">
        <f t="shared" si="13"/>
        <v>1750</v>
      </c>
      <c r="M20" s="9">
        <f t="shared" si="13"/>
        <v>0</v>
      </c>
      <c r="N20" s="9">
        <f t="shared" si="13"/>
        <v>0</v>
      </c>
      <c r="O20" s="9">
        <f t="shared" si="13"/>
        <v>0</v>
      </c>
      <c r="P20" s="9">
        <f t="shared" si="13"/>
        <v>1750</v>
      </c>
      <c r="Q20" s="9">
        <f t="shared" si="13"/>
        <v>0</v>
      </c>
      <c r="R20" s="9">
        <f t="shared" si="13"/>
        <v>0</v>
      </c>
      <c r="S20" s="9">
        <f t="shared" si="13"/>
        <v>0</v>
      </c>
      <c r="T20" s="9">
        <f t="shared" si="13"/>
        <v>0</v>
      </c>
      <c r="U20" s="9">
        <f t="shared" si="13"/>
        <v>0</v>
      </c>
      <c r="V20" s="9">
        <f t="shared" si="13"/>
        <v>0</v>
      </c>
      <c r="W20" s="9">
        <f t="shared" si="13"/>
        <v>0</v>
      </c>
      <c r="X20" s="9">
        <f t="shared" si="13"/>
        <v>0</v>
      </c>
      <c r="Y20" s="9">
        <f t="shared" si="13"/>
        <v>0</v>
      </c>
      <c r="Z20" s="9">
        <f t="shared" si="13"/>
        <v>0</v>
      </c>
      <c r="AA20" s="9">
        <f t="shared" si="13"/>
        <v>1750</v>
      </c>
      <c r="AB20" s="9">
        <f t="shared" si="13"/>
        <v>0</v>
      </c>
      <c r="AC20" s="9">
        <f t="shared" si="13"/>
        <v>0</v>
      </c>
      <c r="AD20" s="9">
        <f t="shared" si="13"/>
        <v>0</v>
      </c>
      <c r="AE20" s="9">
        <f t="shared" si="13"/>
        <v>1750</v>
      </c>
      <c r="AF20" s="134"/>
    </row>
    <row r="21" spans="1:32" ht="36" customHeight="1">
      <c r="A21" s="316" t="s">
        <v>22</v>
      </c>
      <c r="B21" s="253"/>
      <c r="C21" s="253"/>
      <c r="D21" s="253"/>
      <c r="E21" s="253"/>
      <c r="F21" s="317"/>
      <c r="G21" s="136">
        <f>G20/AA20*100</f>
        <v>0</v>
      </c>
      <c r="H21" s="136"/>
      <c r="I21" s="136"/>
      <c r="J21" s="136"/>
      <c r="K21" s="136"/>
      <c r="L21" s="136">
        <v>100</v>
      </c>
      <c r="M21" s="136"/>
      <c r="N21" s="136"/>
      <c r="O21" s="136"/>
      <c r="P21" s="136">
        <v>100</v>
      </c>
      <c r="Q21" s="136"/>
      <c r="R21" s="136"/>
      <c r="S21" s="136"/>
      <c r="T21" s="136"/>
      <c r="U21" s="136"/>
      <c r="V21" s="136">
        <v>0</v>
      </c>
      <c r="W21" s="136"/>
      <c r="X21" s="136"/>
      <c r="Y21" s="136"/>
      <c r="Z21" s="136"/>
      <c r="AA21" s="136">
        <v>100</v>
      </c>
      <c r="AB21" s="136"/>
      <c r="AC21" s="136"/>
      <c r="AD21" s="136"/>
      <c r="AE21" s="136">
        <v>100</v>
      </c>
      <c r="AF21" s="134"/>
    </row>
    <row r="22" spans="1:32" ht="20.100000000000001" customHeight="1">
      <c r="A22" s="137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7"/>
      <c r="T22" s="137"/>
      <c r="U22" s="137"/>
      <c r="V22" s="137"/>
      <c r="W22" s="138"/>
      <c r="X22" s="137"/>
      <c r="Y22" s="137"/>
      <c r="Z22" s="137"/>
      <c r="AA22" s="137"/>
    </row>
    <row r="23" spans="1:32" s="124" customFormat="1" ht="20.100000000000001" customHeight="1">
      <c r="C23" s="20"/>
      <c r="D23" s="20"/>
      <c r="E23" s="20"/>
      <c r="F23" s="20"/>
      <c r="G23" s="20"/>
      <c r="H23" s="20"/>
      <c r="I23" s="20"/>
      <c r="J23" s="20"/>
      <c r="K23" s="20"/>
    </row>
    <row r="24" spans="1:32" s="139" customFormat="1" ht="36" customHeight="1">
      <c r="B24" s="310" t="s">
        <v>433</v>
      </c>
      <c r="C24" s="311"/>
      <c r="D24" s="311"/>
      <c r="E24" s="311"/>
      <c r="F24" s="311"/>
      <c r="G24" s="140"/>
      <c r="H24" s="140"/>
      <c r="I24" s="140"/>
      <c r="J24" s="140"/>
      <c r="K24" s="140"/>
      <c r="L24" s="312" t="s">
        <v>60</v>
      </c>
      <c r="M24" s="312"/>
      <c r="N24" s="312"/>
      <c r="O24" s="312"/>
      <c r="P24" s="312"/>
      <c r="V24" s="313" t="s">
        <v>432</v>
      </c>
      <c r="W24" s="313"/>
      <c r="X24" s="313"/>
      <c r="Y24" s="313"/>
      <c r="Z24" s="313"/>
    </row>
    <row r="25" spans="1:32" s="124" customFormat="1" ht="19.5" customHeight="1">
      <c r="B25" s="141"/>
      <c r="C25" s="124" t="s">
        <v>27</v>
      </c>
      <c r="E25" s="141"/>
      <c r="F25" s="141"/>
      <c r="G25" s="141"/>
      <c r="H25" s="141"/>
      <c r="I25" s="141"/>
      <c r="J25" s="141"/>
      <c r="K25" s="141"/>
      <c r="M25" s="141"/>
      <c r="N25" s="124" t="s">
        <v>28</v>
      </c>
      <c r="O25" s="141"/>
      <c r="Q25" s="141"/>
      <c r="R25" s="141"/>
      <c r="S25" s="141"/>
      <c r="V25" s="239" t="s">
        <v>39</v>
      </c>
      <c r="W25" s="239"/>
      <c r="X25" s="239"/>
      <c r="Y25" s="239"/>
      <c r="Z25" s="239"/>
    </row>
    <row r="26" spans="1:32" s="124" customFormat="1" ht="19.5" customHeight="1">
      <c r="B26" s="141"/>
      <c r="E26" s="141"/>
      <c r="F26" s="141"/>
      <c r="G26" s="141"/>
      <c r="H26" s="141"/>
      <c r="I26" s="141"/>
      <c r="J26" s="141"/>
      <c r="K26" s="141"/>
      <c r="M26" s="141"/>
      <c r="O26" s="141"/>
      <c r="Q26" s="141"/>
      <c r="R26" s="141"/>
      <c r="S26" s="141"/>
    </row>
    <row r="27" spans="1:32" s="124" customFormat="1" ht="19.5" customHeight="1">
      <c r="B27" s="141"/>
      <c r="E27" s="141"/>
      <c r="F27" s="141"/>
      <c r="G27" s="141"/>
      <c r="H27" s="141"/>
      <c r="I27" s="141"/>
      <c r="J27" s="141"/>
      <c r="K27" s="141"/>
      <c r="M27" s="141"/>
      <c r="O27" s="141"/>
      <c r="Q27" s="141"/>
      <c r="R27" s="141"/>
      <c r="S27" s="141"/>
    </row>
    <row r="28" spans="1:32" s="124" customFormat="1" ht="19.5" customHeight="1">
      <c r="B28" s="141"/>
      <c r="E28" s="141"/>
      <c r="F28" s="141"/>
      <c r="G28" s="141"/>
      <c r="H28" s="141"/>
      <c r="I28" s="141"/>
      <c r="J28" s="141"/>
      <c r="K28" s="141"/>
      <c r="M28" s="141"/>
      <c r="O28" s="141"/>
      <c r="Q28" s="141"/>
      <c r="R28" s="141"/>
      <c r="S28" s="141"/>
    </row>
    <row r="29" spans="1:32" s="124" customFormat="1" ht="19.5" customHeight="1">
      <c r="B29" s="141"/>
      <c r="E29" s="141"/>
      <c r="F29" s="141"/>
      <c r="G29" s="141"/>
      <c r="H29" s="141"/>
      <c r="I29" s="141"/>
      <c r="J29" s="141"/>
      <c r="K29" s="141"/>
      <c r="M29" s="141"/>
      <c r="O29" s="141"/>
      <c r="Q29" s="141"/>
      <c r="R29" s="141"/>
      <c r="S29" s="141"/>
    </row>
    <row r="30" spans="1:32" s="124" customFormat="1" ht="19.5" customHeight="1">
      <c r="B30" s="141"/>
      <c r="E30" s="141"/>
      <c r="F30" s="141"/>
      <c r="G30" s="141"/>
      <c r="H30" s="141"/>
      <c r="I30" s="141"/>
      <c r="J30" s="141"/>
      <c r="K30" s="141"/>
      <c r="M30" s="141"/>
      <c r="O30" s="141"/>
      <c r="Q30" s="141"/>
      <c r="R30" s="141"/>
      <c r="S30" s="141"/>
    </row>
    <row r="31" spans="1:32" s="124" customFormat="1" ht="19.5" customHeight="1">
      <c r="B31" s="141"/>
      <c r="E31" s="141"/>
      <c r="F31" s="141"/>
      <c r="G31" s="141"/>
      <c r="H31" s="141"/>
      <c r="I31" s="141"/>
      <c r="J31" s="141"/>
      <c r="K31" s="141"/>
      <c r="M31" s="141"/>
      <c r="O31" s="141"/>
      <c r="Q31" s="141"/>
      <c r="R31" s="141"/>
      <c r="S31" s="141"/>
    </row>
    <row r="32" spans="1:32" s="124" customFormat="1" ht="19.5" customHeight="1">
      <c r="B32" s="314" t="s">
        <v>474</v>
      </c>
      <c r="C32" s="314"/>
      <c r="D32" s="314"/>
      <c r="E32" s="314"/>
      <c r="F32" s="314"/>
      <c r="G32" s="314"/>
      <c r="H32" s="314"/>
      <c r="I32" s="142"/>
      <c r="J32" s="142"/>
      <c r="K32" s="142"/>
      <c r="L32" s="142"/>
      <c r="M32" s="112"/>
      <c r="N32" s="143"/>
      <c r="O32" s="112"/>
      <c r="P32" s="143"/>
      <c r="Q32" s="112"/>
      <c r="R32" s="143"/>
      <c r="S32" s="143"/>
      <c r="T32" s="143"/>
      <c r="U32" s="112"/>
      <c r="V32" s="315" t="s">
        <v>475</v>
      </c>
      <c r="W32" s="315"/>
      <c r="X32" s="315"/>
      <c r="Y32" s="315"/>
    </row>
    <row r="33" spans="1:25" s="124" customFormat="1" ht="46.5" customHeight="1">
      <c r="B33" s="314"/>
      <c r="C33" s="314"/>
      <c r="D33" s="314"/>
      <c r="E33" s="314"/>
      <c r="F33" s="314"/>
      <c r="G33" s="314"/>
      <c r="H33" s="314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13"/>
      <c r="X33" s="113"/>
      <c r="Y33" s="113"/>
    </row>
    <row r="34" spans="1:25" s="124" customFormat="1" ht="19.5" customHeight="1">
      <c r="B34" s="141"/>
      <c r="E34" s="141"/>
      <c r="F34" s="141"/>
      <c r="G34" s="141"/>
      <c r="H34" s="141"/>
      <c r="I34" s="141"/>
      <c r="J34" s="141"/>
      <c r="K34" s="141"/>
      <c r="M34" s="141"/>
      <c r="O34" s="141"/>
      <c r="Q34" s="141"/>
      <c r="R34" s="141"/>
      <c r="S34" s="141"/>
    </row>
    <row r="35" spans="1:25" s="124" customFormat="1" ht="19.5" customHeight="1">
      <c r="B35" s="141"/>
      <c r="E35" s="141"/>
      <c r="F35" s="141"/>
      <c r="G35" s="141"/>
      <c r="H35" s="141"/>
      <c r="I35" s="141"/>
      <c r="J35" s="141"/>
      <c r="K35" s="141"/>
      <c r="M35" s="141"/>
      <c r="O35" s="141"/>
      <c r="Q35" s="141"/>
      <c r="R35" s="141"/>
      <c r="S35" s="141"/>
    </row>
    <row r="36" spans="1:25" s="124" customFormat="1" ht="19.5" customHeight="1">
      <c r="B36" s="141"/>
      <c r="E36" s="141"/>
      <c r="F36" s="141"/>
      <c r="G36" s="141"/>
      <c r="H36" s="141"/>
      <c r="I36" s="141"/>
      <c r="J36" s="141"/>
      <c r="K36" s="141"/>
      <c r="M36" s="141"/>
      <c r="O36" s="141"/>
      <c r="Q36" s="141"/>
      <c r="R36" s="141"/>
      <c r="S36" s="141"/>
    </row>
    <row r="37" spans="1:25" s="124" customFormat="1" ht="19.5" customHeight="1">
      <c r="B37" s="141"/>
      <c r="E37" s="141"/>
      <c r="F37" s="141"/>
      <c r="G37" s="141"/>
      <c r="H37" s="141"/>
      <c r="I37" s="141"/>
      <c r="J37" s="141"/>
      <c r="K37" s="141"/>
      <c r="M37" s="141"/>
      <c r="O37" s="141"/>
      <c r="Q37" s="141"/>
      <c r="R37" s="141"/>
      <c r="S37" s="141"/>
    </row>
    <row r="38" spans="1:25" s="124" customFormat="1" ht="19.5" customHeight="1">
      <c r="B38" s="141"/>
      <c r="E38" s="141"/>
      <c r="F38" s="141"/>
      <c r="G38" s="141"/>
      <c r="H38" s="141"/>
      <c r="I38" s="141"/>
      <c r="J38" s="141"/>
      <c r="K38" s="141"/>
      <c r="M38" s="141"/>
      <c r="O38" s="141"/>
      <c r="Q38" s="141"/>
      <c r="R38" s="141"/>
      <c r="S38" s="141"/>
    </row>
    <row r="39" spans="1:25" s="124" customFormat="1" ht="19.5" customHeight="1">
      <c r="B39" s="141"/>
      <c r="E39" s="141"/>
      <c r="F39" s="141"/>
      <c r="G39" s="141"/>
      <c r="H39" s="141"/>
      <c r="I39" s="141"/>
      <c r="J39" s="141"/>
      <c r="K39" s="141"/>
      <c r="M39" s="141"/>
      <c r="O39" s="141"/>
      <c r="Q39" s="141"/>
      <c r="R39" s="141"/>
      <c r="S39" s="141"/>
    </row>
    <row r="40" spans="1:25" s="124" customFormat="1" ht="19.5" customHeight="1">
      <c r="B40" s="141"/>
      <c r="E40" s="141"/>
      <c r="F40" s="141"/>
      <c r="G40" s="141"/>
      <c r="H40" s="141"/>
      <c r="I40" s="141"/>
      <c r="J40" s="141"/>
      <c r="K40" s="141"/>
      <c r="M40" s="141"/>
      <c r="O40" s="141"/>
      <c r="Q40" s="141"/>
      <c r="R40" s="141"/>
      <c r="S40" s="141"/>
    </row>
    <row r="41" spans="1:25" ht="20.100000000000001" customHeight="1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</row>
    <row r="42" spans="1:25" ht="20.100000000000001" customHeight="1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</row>
    <row r="43" spans="1:25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</row>
    <row r="44" spans="1:25" s="309" customFormat="1" ht="19.149999999999999" customHeight="1">
      <c r="A44" s="308" t="s">
        <v>118</v>
      </c>
    </row>
    <row r="47" spans="1:25">
      <c r="B47" s="145"/>
    </row>
    <row r="48" spans="1:25">
      <c r="B48" s="145"/>
    </row>
    <row r="49" spans="2:2">
      <c r="B49" s="145"/>
    </row>
    <row r="50" spans="2:2">
      <c r="B50" s="145"/>
    </row>
    <row r="51" spans="2:2">
      <c r="B51" s="145"/>
    </row>
    <row r="52" spans="2:2">
      <c r="B52" s="145"/>
    </row>
    <row r="53" spans="2:2">
      <c r="B53" s="145"/>
    </row>
  </sheetData>
  <mergeCells count="40">
    <mergeCell ref="AA4:AE4"/>
    <mergeCell ref="V5:V6"/>
    <mergeCell ref="V4:Z4"/>
    <mergeCell ref="Q4:U4"/>
    <mergeCell ref="AB5:AE5"/>
    <mergeCell ref="AA5:AA6"/>
    <mergeCell ref="W5:Z5"/>
    <mergeCell ref="Q5:Q6"/>
    <mergeCell ref="F2:X2"/>
    <mergeCell ref="R5:U5"/>
    <mergeCell ref="M5:P5"/>
    <mergeCell ref="L4:P4"/>
    <mergeCell ref="H5:K5"/>
    <mergeCell ref="L5:L6"/>
    <mergeCell ref="G4:K4"/>
    <mergeCell ref="G5:G6"/>
    <mergeCell ref="B4:F6"/>
    <mergeCell ref="B19:F19"/>
    <mergeCell ref="A21:F21"/>
    <mergeCell ref="A20:F20"/>
    <mergeCell ref="A4:A6"/>
    <mergeCell ref="B18:F18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A44:XFD44"/>
    <mergeCell ref="V25:Z25"/>
    <mergeCell ref="B24:F24"/>
    <mergeCell ref="L24:P24"/>
    <mergeCell ref="V24:Z24"/>
    <mergeCell ref="B32:H33"/>
    <mergeCell ref="V32:Y32"/>
  </mergeCells>
  <phoneticPr fontId="3" type="noConversion"/>
  <pageMargins left="0.59055118110236227" right="0.59055118110236227" top="0.98425196850393704" bottom="0.39370078740157483" header="0.47244094488188981" footer="0.31496062992125984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Фінансовий план КНП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до Руху'!Заголовки_для_печати</vt:lpstr>
      <vt:lpstr>'Розшифровка кап'!Заголовки_для_печати</vt:lpstr>
      <vt:lpstr>'Фінансовий план КНП'!Заголовки_для_печати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до Руху'!Область_печати</vt:lpstr>
      <vt:lpstr>'Розшифровка за джерелами'!Область_печати</vt:lpstr>
      <vt:lpstr>'Розшифровка кап'!Область_печати</vt:lpstr>
      <vt:lpstr>'Фінансовий план КНП'!Область_печати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2022-08-15T07:28:49Z</cp:lastPrinted>
  <dcterms:created xsi:type="dcterms:W3CDTF">2003-03-13T16:00:22Z</dcterms:created>
  <dcterms:modified xsi:type="dcterms:W3CDTF">2022-09-15T07:32:42Z</dcterms:modified>
</cp:coreProperties>
</file>